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5480" windowHeight="7995" activeTab="10"/>
  </bookViews>
  <sheets>
    <sheet name="UFFICI-PALESTRA" sheetId="1" r:id="rId1"/>
    <sheet name="COMPARAZIONE 2015-16 (2)" sheetId="2" state="hidden" r:id="rId2"/>
    <sheet name="COMPARAZIONE 2015-16 (3)" sheetId="3" state="hidden" r:id="rId3"/>
    <sheet name="COMPARAZIONE 2015-16 (4)" sheetId="4" state="hidden" r:id="rId4"/>
    <sheet name="COMPARAZIONE 2015-16 (5)" sheetId="5" state="hidden" r:id="rId5"/>
    <sheet name="COMPARAZIONE 2015-16 (6)" sheetId="6" state="hidden" r:id="rId6"/>
    <sheet name="ORDINE NOVEMBRE 2014" sheetId="7" state="hidden" r:id="rId7"/>
    <sheet name="ORDINE MARZO 2015" sheetId="8" state="hidden" r:id="rId8"/>
    <sheet name="ORDINE APRILE 2015" sheetId="9" state="hidden" r:id="rId9"/>
    <sheet name="ORDINE AGOSTO 2015" sheetId="10" state="hidden" r:id="rId10"/>
    <sheet name="COLLODI" sheetId="11" r:id="rId11"/>
    <sheet name="CAPPANNINI" sheetId="12" r:id="rId12"/>
    <sheet name="SBRISCIA" sheetId="13" r:id="rId13"/>
    <sheet name="RODARI" sheetId="14" r:id="rId14"/>
    <sheet name="LORENZINI" sheetId="15" r:id="rId15"/>
    <sheet name="Foglio1" sheetId="16" r:id="rId16"/>
  </sheets>
  <definedNames>
    <definedName name="_xlnm.Print_Area" localSheetId="10">'COLLODI'!$A$1:$F$108</definedName>
    <definedName name="_xlnm.Print_Area" localSheetId="1">'COMPARAZIONE 2015-16 (2)'!$A$1:$V$99</definedName>
    <definedName name="_xlnm.Print_Area" localSheetId="2">'COMPARAZIONE 2015-16 (3)'!$A$1:$V$99</definedName>
    <definedName name="_xlnm.Print_Area" localSheetId="3">'COMPARAZIONE 2015-16 (4)'!$A$1:$V$99</definedName>
    <definedName name="_xlnm.Print_Area" localSheetId="4">'COMPARAZIONE 2015-16 (5)'!$A$1:$V$99</definedName>
    <definedName name="_xlnm.Print_Area" localSheetId="5">'COMPARAZIONE 2015-16 (6)'!$A$1:$V$99</definedName>
    <definedName name="_xlnm.Print_Area" localSheetId="9">'ORDINE AGOSTO 2015'!$A$1:$AD$68</definedName>
    <definedName name="_xlnm.Print_Area" localSheetId="8">'ORDINE APRILE 2015'!$A$1:$AD$68</definedName>
    <definedName name="_xlnm.Print_Area" localSheetId="7">'ORDINE MARZO 2015'!$A$1:$AD$68</definedName>
    <definedName name="_xlnm.Print_Area" localSheetId="6">'ORDINE NOVEMBRE 2014'!$A$1:$AD$56</definedName>
    <definedName name="_xlnm.Print_Area" localSheetId="0">'UFFICI-PALESTRA'!$A$1:$F$109</definedName>
    <definedName name="_xlnm.Print_Titles" localSheetId="11">'CAPPANNINI'!$2:$5</definedName>
    <definedName name="_xlnm.Print_Titles" localSheetId="10">'COLLODI'!$A:$A,'COLLODI'!$2:$6</definedName>
    <definedName name="_xlnm.Print_Titles" localSheetId="1">'COMPARAZIONE 2015-16 (2)'!$A:$A</definedName>
    <definedName name="_xlnm.Print_Titles" localSheetId="2">'COMPARAZIONE 2015-16 (3)'!$A:$A</definedName>
    <definedName name="_xlnm.Print_Titles" localSheetId="3">'COMPARAZIONE 2015-16 (4)'!$A:$A</definedName>
    <definedName name="_xlnm.Print_Titles" localSheetId="4">'COMPARAZIONE 2015-16 (5)'!$A:$A</definedName>
    <definedName name="_xlnm.Print_Titles" localSheetId="5">'COMPARAZIONE 2015-16 (6)'!$A:$A</definedName>
    <definedName name="_xlnm.Print_Titles" localSheetId="14">'LORENZINI'!$2:$5</definedName>
    <definedName name="_xlnm.Print_Titles" localSheetId="9">'ORDINE AGOSTO 2015'!$A:$A</definedName>
    <definedName name="_xlnm.Print_Titles" localSheetId="8">'ORDINE APRILE 2015'!$A:$A</definedName>
    <definedName name="_xlnm.Print_Titles" localSheetId="7">'ORDINE MARZO 2015'!$A:$A</definedName>
    <definedName name="_xlnm.Print_Titles" localSheetId="6">'ORDINE NOVEMBRE 2014'!$A:$A</definedName>
    <definedName name="_xlnm.Print_Titles" localSheetId="13">'RODARI'!$2:$5</definedName>
    <definedName name="_xlnm.Print_Titles" localSheetId="0">'UFFICI-PALESTRA'!$A:$A,'UFFICI-PALESTRA'!$2:$5</definedName>
  </definedNames>
  <calcPr fullCalcOnLoad="1"/>
</workbook>
</file>

<file path=xl/sharedStrings.xml><?xml version="1.0" encoding="utf-8"?>
<sst xmlns="http://schemas.openxmlformats.org/spreadsheetml/2006/main" count="5197" uniqueCount="589">
  <si>
    <t>DESCRIZIONE ARTICOLI</t>
  </si>
  <si>
    <t>RICHIESTI</t>
  </si>
  <si>
    <t>confezione pz</t>
  </si>
  <si>
    <t>P. Conf.</t>
  </si>
  <si>
    <t>P. Unit.</t>
  </si>
  <si>
    <t>MANICO TELESCOPICO</t>
  </si>
  <si>
    <t>PIUMINO</t>
  </si>
  <si>
    <t>SACCHI X rifiuti 50x60 alta resistenza</t>
  </si>
  <si>
    <t>SACCHI X rifiuti 74x110 alta resistenza</t>
  </si>
  <si>
    <t>SCOPINO X WC COMPLETO</t>
  </si>
  <si>
    <t>SCOVOLO tondo x ragnatele</t>
  </si>
  <si>
    <t>MANICO PER MOCIO + PINZA</t>
  </si>
  <si>
    <t>PANNO VETRI cm. 39x36</t>
  </si>
  <si>
    <t>FRANGIA IN COTONE FILO GROSSO DA CM 60</t>
  </si>
  <si>
    <t>STRACCIO PER PAVIMENTI cm. 55x80</t>
  </si>
  <si>
    <t>SPUGNE accoppiato giallo/verde</t>
  </si>
  <si>
    <t>TERGIVETRO inox larghezza min. cm 35</t>
  </si>
  <si>
    <t>MANICO FILETTATO PER SCOPA</t>
  </si>
  <si>
    <t>MOCIO PULIZIA PAVIMENTI gr.400 cotone</t>
  </si>
  <si>
    <t>MOCIO PULIZIA PAVIMENTI gr.300 cotone</t>
  </si>
  <si>
    <t>STRIZZATORE MOP PER CARRELLO</t>
  </si>
  <si>
    <t>DETERSIVO LIQUIDO PER LAVATRICE</t>
  </si>
  <si>
    <t>CESTINO GETTACARTA</t>
  </si>
  <si>
    <t>PANNI MULTIUSO PER PULIZIE BANCHI E SCRIVANIE microforato tipo Vileda cm. 40x35</t>
  </si>
  <si>
    <t>PINZA MOP</t>
  </si>
  <si>
    <t>CARTA IGIENICA in 100% ovatta di cellulosa, 2 veli, morbida, colore bianco lunghezza minima mt 18 – grammatura minima 20g/mq x velo - confezione da 10 rotoli</t>
  </si>
  <si>
    <t>CARTA IGIENICA in carta ecologica, 2 veli, morbida, colore bianco, minimo 155 strappi – grammatura minima 30g/mq x velo - confezione da 10 rotoli</t>
  </si>
  <si>
    <t>ALZAIMMONDIZIA CON MANICO</t>
  </si>
  <si>
    <t>SCARPA ANTINFORTUNISTICA conforme alle norme EN 347-1 CE</t>
  </si>
  <si>
    <t>D.I.M.A.S. s.r.l.-ANCONA</t>
  </si>
  <si>
    <t>ALCOOL DENATURATO flac. da litri …1……………………</t>
  </si>
  <si>
    <t>AMMONIACA PROFUMATA flac. da litri ……1…………….</t>
  </si>
  <si>
    <t>CANDEGGINA PROFUMATA flac. da litri ……2…………</t>
  </si>
  <si>
    <t>1 paio</t>
  </si>
  <si>
    <t>100 pezzi</t>
  </si>
  <si>
    <t>5 pezzi</t>
  </si>
  <si>
    <t>10 pezzi</t>
  </si>
  <si>
    <t>25 pezzi</t>
  </si>
  <si>
    <t>1 pezzo</t>
  </si>
  <si>
    <t>SPLENDOR CLEAN DI TURINO A.</t>
  </si>
  <si>
    <t>20 pezzi</t>
  </si>
  <si>
    <t>1000 pezzi</t>
  </si>
  <si>
    <t>1 conf. da 10 rot.</t>
  </si>
  <si>
    <t>15 pezzi</t>
  </si>
  <si>
    <t>LA TECNOGRAFICA s.r.l.</t>
  </si>
  <si>
    <t>20 pezzi da lt. 1-lt.20</t>
  </si>
  <si>
    <t>8 pezzi da lt.2-lt.16</t>
  </si>
  <si>
    <t>12 pezzi da ml.750-lt.9</t>
  </si>
  <si>
    <t>24 pezzi da ml.500-lt.12</t>
  </si>
  <si>
    <t>12 pezzi da lt.1-lt.12</t>
  </si>
  <si>
    <t>1 conf.da 20 pezzi</t>
  </si>
  <si>
    <t>1 conf.da 10 pezzi</t>
  </si>
  <si>
    <t>40 flac. da 2 L</t>
  </si>
  <si>
    <t>72 conf. da 10 rotoli</t>
  </si>
  <si>
    <t>1 conf.da 2 rot.</t>
  </si>
  <si>
    <t>1 conf.da 2 rotoli</t>
  </si>
  <si>
    <t>TECNOGR.</t>
  </si>
  <si>
    <t>DIMAS</t>
  </si>
  <si>
    <t>DETERGENTE ANTICALCARE PER LAVANDINI E RUBINETTERIE flac. da 0,750 / 1 litro (specificare)</t>
  </si>
  <si>
    <t>DETERGENTE x PULIZIA E DISINFESTAZIONE WC  a becco d’anatra - flac. da 0,750 / 1 litro (specificare)</t>
  </si>
  <si>
    <t>PULITORE MULTIUSO PER BANCHI flac. da 0,750 / 1 litro (specificare)</t>
  </si>
  <si>
    <t>GUANTI IN GOMMA FELPATI per PULIZIE taglie M / L / XL</t>
  </si>
  <si>
    <t>GUANTI IN NITRILE MONOUSO taglia M / L / XL</t>
  </si>
  <si>
    <t>SCOPA alta da interno con paracolpi</t>
  </si>
  <si>
    <t>SCOPA bassa da interno con paracolpi</t>
  </si>
  <si>
    <t>SCOPA bassa da esterno con paracolpi</t>
  </si>
  <si>
    <t>SCOPA in SAGGINA da esterno</t>
  </si>
  <si>
    <t>MOP gr. 400 cotone</t>
  </si>
  <si>
    <t>GUANTI Multiuso conformi alle norme EN 388 CE</t>
  </si>
  <si>
    <t>GUANTI Monouso conformi alle norme EN 374 - livello 1 CE</t>
  </si>
  <si>
    <t>GUANTI Multiuso conformi alle norme EN 374 - livello 1 CE</t>
  </si>
  <si>
    <t>DETERGENTE PULIZIA LAVANDINI,  RUBINETTERIE ECC. PER SPORCO GRASSO TIPO CIF (NON IN CREMA)
flac. da 0,750 / 1 litro (specificare)</t>
  </si>
  <si>
    <t>DETERGENTE x PULIZIA E DISINFESTAZIONE BAGNI / PIASTRELLE TIPO LYSOFORM 
flac. da 0,750 / 1 litro (specificare)</t>
  </si>
  <si>
    <t>DETERGENTE per PAVIMENTI PIASTRELLATI 
tanica da litri …………………</t>
  </si>
  <si>
    <t>DETERGENTE per PAVIMENTI IN LINOLEUM
tanica da litri …………………</t>
  </si>
  <si>
    <t>SAPONE LIQUIDO LAVAMANI. Dermoprotettivo. 
Dermatologicamente testato. Tanica da litri …………………</t>
  </si>
  <si>
    <t>PMB CHIMICA di Paniconi Mauro</t>
  </si>
  <si>
    <t>MD INTERNATIONAL SRL</t>
  </si>
  <si>
    <t>IDROMARCHE TEAM</t>
  </si>
  <si>
    <t>12 pezzi da 750 ml. - lt. 9 - DIMAS BAGNO</t>
  </si>
  <si>
    <t>12 pezzi da lt.1 - lt. 12 - DIMAS DEKAL</t>
  </si>
  <si>
    <t>3 taniche da 5 lt. - lt. 15 - EUSTERAL FORMIO</t>
  </si>
  <si>
    <t>16 pezzi da 750 ml. - lt. 12 - DIMAS VERDE</t>
  </si>
  <si>
    <t xml:space="preserve">ROTOLO / BOBINA ASCIUGATUTTO in 100% ovatta di cellulosa, 2 veli morbida, goffrata, colore bianco, 800 STRAPPI con dimensione minima dello strappo 230x230 mm – grammatura minima gr/mq per velo 25gr – Confezione da ……….. rotoli </t>
  </si>
  <si>
    <t>4 taniche da 4 lt. - lt.16 - DIMAS AZZURRO</t>
  </si>
  <si>
    <t>2 taniche da 5 lt. - lt.10 - DETERSOL ROSA</t>
  </si>
  <si>
    <t>12 pezzi da 750 ml. - lt. 9 - INK</t>
  </si>
  <si>
    <t>4 taniche da 5 lt. - lt.20 - DIMAS MANI</t>
  </si>
  <si>
    <t>300 pezzi - 70x110</t>
  </si>
  <si>
    <t>1 conf.da 10 Rot. - BASIC (CONF. DA 12 X 10)</t>
  </si>
  <si>
    <t xml:space="preserve">ROTOLO / BOBINA ASCIUGATUTTO in carta ecologica/riciclata, 2 veli morbida, goffrata, colore bianco, 800 STRAPPI con dimensione minima dello strappo ca. 230x230 mm – grammatura minima gr/mq per velo 25gr – Confezione da ……….. rotoli </t>
  </si>
  <si>
    <t>1 conf. da 2 Rot. - SPEEDY</t>
  </si>
  <si>
    <t>1 conf. da 2 Rot. - SMARTA</t>
  </si>
  <si>
    <t>3 pezzi</t>
  </si>
  <si>
    <t>1 pezzo - IN LEGNO</t>
  </si>
  <si>
    <t>4 taniche da 4 lt. - lt.16 - DIMAS MARSIGLIA</t>
  </si>
  <si>
    <t>1 paio - NITROSTAR ECO</t>
  </si>
  <si>
    <t>1 paio - GUANTI IN GOMMA</t>
  </si>
  <si>
    <t>100 pezzi - IN LATTICE</t>
  </si>
  <si>
    <t>INDAGINE DI MERCATO MATERIALE PULIZIE 2014-15</t>
  </si>
  <si>
    <t>1 pezzo da 1 lt.</t>
  </si>
  <si>
    <t>1 pezzo da 4 lt.</t>
  </si>
  <si>
    <t xml:space="preserve">1 pezzo da 750 ml </t>
  </si>
  <si>
    <t>1 pezzo da 5 lt.</t>
  </si>
  <si>
    <t>10 pezzi - al kg</t>
  </si>
  <si>
    <t>20 pezzi da 1 lt -lt. 20</t>
  </si>
  <si>
    <t>16 pezzi da 1 lt - lt. 16</t>
  </si>
  <si>
    <t xml:space="preserve">8 pezzi da 2 lt - lt. 16 </t>
  </si>
  <si>
    <t>12 pezzi da 1 lt -lt. 12</t>
  </si>
  <si>
    <t>12 pezzi da 1 lt - lt. 12</t>
  </si>
  <si>
    <t>12 pezzi da 1 lt.- 12 lt.</t>
  </si>
  <si>
    <t>4 taniche da 5 lt. - lt. 20</t>
  </si>
  <si>
    <t>12 pezzi da 750 ml. - lt. 9</t>
  </si>
  <si>
    <t>1 pezzo 60x90</t>
  </si>
  <si>
    <t>300 pezzi</t>
  </si>
  <si>
    <t>1 conf.da 10 Rot. - (CONF. DA 12 X 10)</t>
  </si>
  <si>
    <t>1 pezzo - completo</t>
  </si>
  <si>
    <t>1 pezzo - x pinza</t>
  </si>
  <si>
    <t>1 pezzo - a vite</t>
  </si>
  <si>
    <t>1 paio x 12 pz</t>
  </si>
  <si>
    <t>16 pezzi da 750 ml. - lt. 12</t>
  </si>
  <si>
    <t>6 pezzi da 750 ml. - lt. 4,5</t>
  </si>
  <si>
    <t>1 paio x 12pz</t>
  </si>
  <si>
    <t>1 pezzo da 3 lt.</t>
  </si>
  <si>
    <t>12 pezzi da lt. 1-lt.12</t>
  </si>
  <si>
    <t>4 pezzi da lt.4-lt.16</t>
  </si>
  <si>
    <t>9 pezzi da lt. 1-lt.9</t>
  </si>
  <si>
    <t>20 pezzi da lt.1-lt.20</t>
  </si>
  <si>
    <t>6 pezzi da 950 ml. - lt. 5,70</t>
  </si>
  <si>
    <t>6 taniche da 4 lt. - lt. 24</t>
  </si>
  <si>
    <t>2 taniche da 5 lt. - lt. 10</t>
  </si>
  <si>
    <t>1 conf.da 260 pezzi</t>
  </si>
  <si>
    <t>1 paio x 10pz</t>
  </si>
  <si>
    <t>1 conf.da 50 pezzi</t>
  </si>
  <si>
    <t>PMB</t>
  </si>
  <si>
    <t>SPLENDOR CLEAN</t>
  </si>
  <si>
    <t>24 flac. da 2 L</t>
  </si>
  <si>
    <t>4 taniche da 5lt.</t>
  </si>
  <si>
    <t>IDROM.</t>
  </si>
  <si>
    <t>MD INT.</t>
  </si>
  <si>
    <t>TOTALE</t>
  </si>
  <si>
    <t>IVA 22%</t>
  </si>
  <si>
    <t>50 conf. da 2 rot.</t>
  </si>
  <si>
    <t>24 flac. da 1 L</t>
  </si>
  <si>
    <t>36 flac. da 1 L</t>
  </si>
  <si>
    <t>12 flac. da 1 L</t>
  </si>
  <si>
    <t>20 taniche da 5lt.</t>
  </si>
  <si>
    <t>60 flac. da 750 ml</t>
  </si>
  <si>
    <t>8 taniche da 5lt.</t>
  </si>
  <si>
    <t>10 sc. M/4 L/1XL</t>
  </si>
  <si>
    <t>2 conf. da 300 pz.</t>
  </si>
  <si>
    <t>1 conf. da 1000 pz.</t>
  </si>
  <si>
    <t>2 pezzi</t>
  </si>
  <si>
    <t>BRILLANTANTE tanica da litri …………………</t>
  </si>
  <si>
    <t>DETERSIVO LIQUIDO PER PIATTI  tanica da litri …………………</t>
  </si>
  <si>
    <t>DETERSIVO LIQUIDO PER LAVASTOVIGLIE tanica da litri ……</t>
  </si>
  <si>
    <t xml:space="preserve">DETERGENTE PER ACCIAIO flac. da 0,750 / 1 litro (specificare) </t>
  </si>
  <si>
    <t xml:space="preserve">SPUGNE PER PIATTI </t>
  </si>
  <si>
    <t>Tovaglioli / Asciugamani piegati a C</t>
  </si>
  <si>
    <t>4 taniche da 4 lt</t>
  </si>
  <si>
    <t>1 tanica da 25 kg</t>
  </si>
  <si>
    <t>1 tanica da 5 lt</t>
  </si>
  <si>
    <t>3 pezzi spugne giallo/verdi con abrasivo</t>
  </si>
  <si>
    <t>4 taniche da 5 lt</t>
  </si>
  <si>
    <t>4 taniche da 6 lt</t>
  </si>
  <si>
    <t>1 pezzi da 750 ml.</t>
  </si>
  <si>
    <t>24 flac. da 750 ml</t>
  </si>
  <si>
    <t>30 conf. da 2 rot.</t>
  </si>
  <si>
    <t>1 tanica da 12lt</t>
  </si>
  <si>
    <t>4 taniche da 12lt</t>
  </si>
  <si>
    <t>4 taniche da 5lt</t>
  </si>
  <si>
    <t>2 taniche da 12lt</t>
  </si>
  <si>
    <t>12 pezzi da 750 ml - lt. 9</t>
  </si>
  <si>
    <t>48 flac. da 2 L</t>
  </si>
  <si>
    <t xml:space="preserve"> 2 L / 2 XL</t>
  </si>
  <si>
    <t>10 conf. da 2 rot.</t>
  </si>
  <si>
    <t>Cartone da 3150 pezzi</t>
  </si>
  <si>
    <t>cartone da 3840 pezzi</t>
  </si>
  <si>
    <t>CARTA IGIENICA in 100% ovatta di cellulosa, 2 veli, morbida, colore bianco lunghezza minima mt 18 - grammatura minima 20g/mq x velo - confezione da 10 rotoli</t>
  </si>
  <si>
    <t>CARTA IGIENICA 3 veli, morbida, profumata - colore bianco - confezione da 4 maxi-rotoli</t>
  </si>
  <si>
    <r>
      <t xml:space="preserve">ROTOLO / BOBINA ASCIUGATUTTO in 100% ovatta di cellulosa, 2 veli morbida, goffrata, colore bianco, </t>
    </r>
    <r>
      <rPr>
        <b/>
        <sz val="12"/>
        <rFont val="Times New Roman"/>
        <family val="1"/>
      </rPr>
      <t>800 STRAPPI</t>
    </r>
    <r>
      <rPr>
        <sz val="12"/>
        <rFont val="Times New Roman"/>
        <family val="1"/>
      </rPr>
      <t xml:space="preserve"> con </t>
    </r>
    <r>
      <rPr>
        <b/>
        <sz val="12"/>
        <rFont val="Times New Roman"/>
        <family val="1"/>
      </rPr>
      <t>dimensione min.</t>
    </r>
    <r>
      <rPr>
        <sz val="12"/>
        <rFont val="Times New Roman"/>
        <family val="1"/>
      </rPr>
      <t xml:space="preserve"> dello strappo 230x230 mm – </t>
    </r>
    <r>
      <rPr>
        <b/>
        <sz val="12"/>
        <rFont val="Times New Roman"/>
        <family val="1"/>
      </rPr>
      <t xml:space="preserve">grammatura min. </t>
    </r>
    <r>
      <rPr>
        <sz val="12"/>
        <rFont val="Times New Roman"/>
        <family val="1"/>
      </rPr>
      <t xml:space="preserve">gr/mq per velo 25gr </t>
    </r>
    <r>
      <rPr>
        <b/>
        <sz val="12"/>
        <rFont val="Times New Roman"/>
        <family val="1"/>
      </rPr>
      <t>– Confezione  da ……….. rotoli</t>
    </r>
    <r>
      <rPr>
        <sz val="12"/>
        <rFont val="Times New Roman"/>
        <family val="1"/>
      </rPr>
      <t xml:space="preserve"> </t>
    </r>
  </si>
  <si>
    <r>
      <t xml:space="preserve">ROTOLO / BOBINA ASCIUGATUTTO in carta ecologica/riciclata, 2 veli morbida, goffrata, colore bianco,        </t>
    </r>
    <r>
      <rPr>
        <b/>
        <sz val="12"/>
        <rFont val="Times New Roman"/>
        <family val="1"/>
      </rPr>
      <t>800 STRAPPI</t>
    </r>
    <r>
      <rPr>
        <sz val="12"/>
        <rFont val="Times New Roman"/>
        <family val="1"/>
      </rPr>
      <t xml:space="preserve"> con </t>
    </r>
    <r>
      <rPr>
        <b/>
        <sz val="12"/>
        <rFont val="Times New Roman"/>
        <family val="1"/>
      </rPr>
      <t>dim. min.</t>
    </r>
    <r>
      <rPr>
        <sz val="12"/>
        <rFont val="Times New Roman"/>
        <family val="1"/>
      </rPr>
      <t xml:space="preserve"> dello strappo ca. 230x230 mm – </t>
    </r>
    <r>
      <rPr>
        <b/>
        <sz val="12"/>
        <rFont val="Times New Roman"/>
        <family val="1"/>
      </rPr>
      <t>gramm. min.</t>
    </r>
    <r>
      <rPr>
        <sz val="12"/>
        <rFont val="Times New Roman"/>
        <family val="1"/>
      </rPr>
      <t xml:space="preserve"> gr/mq per velo 25gr – </t>
    </r>
    <r>
      <rPr>
        <b/>
        <sz val="12"/>
        <rFont val="Times New Roman"/>
        <family val="1"/>
      </rPr>
      <t>Confez. da ……….. rotoli</t>
    </r>
  </si>
  <si>
    <t>ASCIUGAMANI piegati a C in pura cellulosa due veli</t>
  </si>
  <si>
    <t>PORTA ROTOLO / BOBINA ASCIUGATUTTO A PARETE</t>
  </si>
  <si>
    <t>PORTAROTOLO CARTA IGIENICA</t>
  </si>
  <si>
    <t>DISTRIBUTORE SAPONE LIQUIDO da 500 ml</t>
  </si>
  <si>
    <t>CESTINO GETTACARTA Aperto</t>
  </si>
  <si>
    <t>CESTINO GETTACARTA Chiuso</t>
  </si>
  <si>
    <t>DETERGENTI PER AMBIENTI BAGNO E DISINFETTANTI</t>
  </si>
  <si>
    <t>DETERGENTE specifico x PULIZIA E DISINFESTAZIONE WC  a becco d’anatra (anche in gel) - flac. da 0,750 / 1 litro (specificare)</t>
  </si>
  <si>
    <t>ALCOOL DENATURATO flac. da litri ………………</t>
  </si>
  <si>
    <t>AMMONIACA PROFUMATA flac. da litri ………………….</t>
  </si>
  <si>
    <t>CANDEGGINA PROFUMATA flac. da litri …………………</t>
  </si>
  <si>
    <t>DETERGENTE tipo AMUCHINA flac. da litri ………………..</t>
  </si>
  <si>
    <t>DETERGENTI PER PAVIMENTI / MULTIUSO E VETRI</t>
  </si>
  <si>
    <t>DETERGENTE per lavaggio PAVIMENTI PIASTRELLATI - per uso quotidiano - tanica da litri …………………</t>
  </si>
  <si>
    <t>DETERGENTE per lavaggio PAVIMENTI IN LINOLEUM - per uso quotidiano (antiscivolo) - tanica da litri …………………</t>
  </si>
  <si>
    <t>DETERGENTE sanificante multiuso specifico per rimuovere  scritte d’inchiostro e pennarelli da BANCHI e SCRIVANIE - flac. da 0,750 / 1 litro (specificare) - con nebulizzatore</t>
  </si>
  <si>
    <t>DETERGENTE profumato per pulire a fondo vetri e superfici lavabili - flac. da 0,750 / 1 litro (specificare) - con nebulizzatore</t>
  </si>
  <si>
    <t>SAPONE MANI tipo AMUCHINA. Tanica da litri ….…………</t>
  </si>
  <si>
    <t>MANGIAPOLVERE antistatico.  Flac. da litri …………………</t>
  </si>
  <si>
    <t>DETERGENTI PER PIATTI / LAVATRICE</t>
  </si>
  <si>
    <t>DETERSIVO LIQUIDO PER PIATTI  - Tan. da litri ……………</t>
  </si>
  <si>
    <t xml:space="preserve">DETERGENTE PER ACCIAIO flac. da 0,750 / 1 litro (specific.) </t>
  </si>
  <si>
    <t>DETERSIVO LIQUIDO PER LAVATRICE - Tan. da litri ……..</t>
  </si>
  <si>
    <t>DETERSIVO PER BUCATO A MANO - Conf. da Kg. …………</t>
  </si>
  <si>
    <t>MATERIALE E ATTREZZATURE DI PULIZIA</t>
  </si>
  <si>
    <t>GUANTI IN NITRILE MONOUSO taglia M / L / XL / XXL</t>
  </si>
  <si>
    <t>SPUGNE accoppiato giallo/verde con lato abrasivo</t>
  </si>
  <si>
    <t>PANNO SPUGNA 20 X 20 conf. da 3 pz.</t>
  </si>
  <si>
    <t>PANNI MULTIUSO PER PULIZIE BANCHI E SCRIVANIE microforato tipo Vileda cm. 40x35 assorbente</t>
  </si>
  <si>
    <t>PANNO SPOLVERO SCOZZESE cf.2 pz. (47x49)</t>
  </si>
  <si>
    <t>PANNO ANTISTATICO medio</t>
  </si>
  <si>
    <t>PANNO PAVIMENTI tipo Vileda  misura media 50x50</t>
  </si>
  <si>
    <t>STRACCIO PER PAVIMENTI 60x40 in cotone</t>
  </si>
  <si>
    <t>STRACCIO PER PAVIMENTI 80x55 in cotone</t>
  </si>
  <si>
    <t>STRACCIO PER PAVIMENTI 120x40 in cotone</t>
  </si>
  <si>
    <t>MANICO FILETTATO per SCOPA in legno robusto cm.120/140</t>
  </si>
  <si>
    <t>MANICO IN ALLUMINIO alta qualità cm 140</t>
  </si>
  <si>
    <t>ALZAIMMONDIZIA CON MANICO lungo rinforzato</t>
  </si>
  <si>
    <t>RADAZZA A FRANGE cm.60 completa di manico + telaio</t>
  </si>
  <si>
    <t>RADAZZA A FRANGE cm.80 completa di manico + telaio</t>
  </si>
  <si>
    <t>RICAMBIO RADAZZA FRANGE in cotone filo grosso cm.60</t>
  </si>
  <si>
    <t>RICAMBIO RADAZZA FRANGE in cotone filo grosso cm.80</t>
  </si>
  <si>
    <t>SCOPETTONE PER PAVIMENTI</t>
  </si>
  <si>
    <t>RICAMBIO MOP cotone gr.500 per pinza</t>
  </si>
  <si>
    <t>PINZA per MOP in nylon con ghiera</t>
  </si>
  <si>
    <t>STRIZZA MOP PER CARRELLO monovasca robusto lt.12-18</t>
  </si>
  <si>
    <t>CARRELLO A RUOTE CON 2 SECCHI STRIZZA-MOP</t>
  </si>
  <si>
    <t>MOCIO COTONE piccolo a vite lungo</t>
  </si>
  <si>
    <t>MOCIO COTONE piccolo a vite rotondo</t>
  </si>
  <si>
    <t>MANICO PER MOCIO</t>
  </si>
  <si>
    <t>SECCHIO STRIZZA MOCIO</t>
  </si>
  <si>
    <t>SECCHIO IN PLASTICA PER ACQUA MEDIO</t>
  </si>
  <si>
    <t>RAGNATORE con manico allungabile 85-150</t>
  </si>
  <si>
    <t>SCOVOLO RAGNATORE professionale per aste</t>
  </si>
  <si>
    <t>MANICO TELESCOPICO ALLUNGABILE m.3 per ragnatore</t>
  </si>
  <si>
    <t>SCOVOLO TERMOSIFONE</t>
  </si>
  <si>
    <t>SUPPORTO PER VELLO LAVAVETRI cm 35</t>
  </si>
  <si>
    <t>SUPPORTO SNODATO PER VELLO LAVAVETRI cm 35</t>
  </si>
  <si>
    <t>RICAMBIO VELLO LAVAVETRI cm 35</t>
  </si>
  <si>
    <t>PIUMINO SPOLVERO ANTISTATICO</t>
  </si>
  <si>
    <t>PORTA SCOPINO  + SCOPINO X WC</t>
  </si>
  <si>
    <t>MATERIALE SANITARIO / SICUREZZA /VARIE</t>
  </si>
  <si>
    <t>KIT completo RICARICA CASSETTA DI PRONTO SOCCORSO per 3 o più persone come da D.M. 388/03 - All. 1</t>
  </si>
  <si>
    <t>OCCHIALE DI PROTEZIONE  MONTATURA IN POLICARBONATO</t>
  </si>
  <si>
    <t>MASCHERINA ANTIPOLVERE SENZA VALVOLA</t>
  </si>
  <si>
    <t>GHIACCIO ISTANTANEO MONOUSO SACCHETTO IN TNT</t>
  </si>
  <si>
    <t>GHIACCIO ISTANTANEO MONOUSO SACCHETTO IN PE</t>
  </si>
  <si>
    <t>INSETTICIDA MOSCHE spray ml. 400</t>
  </si>
  <si>
    <t>INSETTICIDA FORMICHE spray ml. 400</t>
  </si>
  <si>
    <t>BICCHIERI IN PLASTICA</t>
  </si>
  <si>
    <t>CARTA IGIENICA / BOBINE ASCIUGATUTTO E SALVIETTE</t>
  </si>
  <si>
    <t>DETERGENTE PULIZIA LAVANDINI,  RUBINETTERIE ECC. PER SPORCO GRASSO TIPO CIF (NON IN CREMA) - flac. da 0,750 / 1 litro (specificare)</t>
  </si>
  <si>
    <t>DETERGENTE PER BAGNO / Piastrelle disincrostante, igienizzante, battericida TIPO LYSOFORM  - flac. da 0,750 / 1 litro (specificare)</t>
  </si>
  <si>
    <t>SAPONE LIQUIDO LAVAMANI. Dermoprotettivo. Dermatologicamente testato. Tanica da litri …………………</t>
  </si>
  <si>
    <t>DETERSIVO LIQUIDO PER LAVASTOVIGLIE - tanica (max 12 Litri) da litri …………………</t>
  </si>
  <si>
    <t>BRILLANTANTE LIQUIDO PER LAVASTOVIGLIE - tanica (max 12 Litri) da litri …………………</t>
  </si>
  <si>
    <t>DETERSIVO IN POLVERE PER LAVATRICE - Fusto da Kg. ……..</t>
  </si>
  <si>
    <t>SCARPA ANTINFORTUNISTICA - conforme alle norme EN 347-1 CE</t>
  </si>
  <si>
    <t>IGIENE SERVICE</t>
  </si>
  <si>
    <t>1 conf.da 10 Rot. - VELO - BASIC (CONF. DA 12 X 10)</t>
  </si>
  <si>
    <t>1 conf.da 4 Rot. - VELO - SELECT (CONF. DA 14 X 4)</t>
  </si>
  <si>
    <t>1 conf. da 2 Rot. - VELO - S2 BASIC</t>
  </si>
  <si>
    <t>3840 pz. - VELO</t>
  </si>
  <si>
    <t>1 pezzo da 750 ml</t>
  </si>
  <si>
    <t>1 litro ( conf. da 12 pezzi) DIMAS DEKAL</t>
  </si>
  <si>
    <t>tanica da 5 litri (conf. da 3 pezzi) EUSTERAL FORMIO</t>
  </si>
  <si>
    <t>750 ml (conf. da 12 pezzi) DIMAS VERDE WC</t>
  </si>
  <si>
    <t>750 ml (conf. da 12 pezzi) DIMAS BAGNO</t>
  </si>
  <si>
    <t>1 litro</t>
  </si>
  <si>
    <t>1 litro (conf. da 16 pezzi) - DIMAS</t>
  </si>
  <si>
    <t>2 litro (conf. da 8 pezzi) - DIMAS</t>
  </si>
  <si>
    <t>5 litri - PURO</t>
  </si>
  <si>
    <t>5 litri - DIMAS PAVIMENTI</t>
  </si>
  <si>
    <t>5 litri - DETERSOL ROSA</t>
  </si>
  <si>
    <t>750 ml (conf. da 12 pezzi) - INK</t>
  </si>
  <si>
    <t>750 ml (conf. da 12 pezzi) - DIMAS</t>
  </si>
  <si>
    <t>5 litri (conf. da 4 pezzi) - DIMAS MANI ROSA</t>
  </si>
  <si>
    <t>5 litri (conf. da 4 pezzi) - DIMAS MANI ANTIBATT.</t>
  </si>
  <si>
    <t>750 ml (conf. da 12 pezzi) - SLIND</t>
  </si>
  <si>
    <t>5 litri (conf. da 4 pezzi) - DIMAS</t>
  </si>
  <si>
    <t>12 KG - DIMAS 55</t>
  </si>
  <si>
    <t>10 KG - DIMAS</t>
  </si>
  <si>
    <t>750 ml - DETER INOX</t>
  </si>
  <si>
    <t>4 litri - DIMAS</t>
  </si>
  <si>
    <t>20 KG - BOY</t>
  </si>
  <si>
    <t>5,10 KG - TAC</t>
  </si>
  <si>
    <t>100 pz</t>
  </si>
  <si>
    <t>1 pezzo (asta mt 1,5 x 2)</t>
  </si>
  <si>
    <t>300 pezzo</t>
  </si>
  <si>
    <t>50 pezzi</t>
  </si>
  <si>
    <t>1 conf.da 10 Rot. - CLIO 2 VELI (CONF. DA 12 X 10)</t>
  </si>
  <si>
    <t>1 conf.da 80 Rot. - LILLA 3 VELI PROF. (250 strappi)</t>
  </si>
  <si>
    <t>1 conf.da 10 Rot. - LILLA 2 VELI (CONF. DA 12 X 10) 160 strappi</t>
  </si>
  <si>
    <t>1 conf. da 2 Rot. - DART WIPE</t>
  </si>
  <si>
    <t>1 conf. da 2 Rot. - BIRILLO 1000 strappi</t>
  </si>
  <si>
    <t>3750 pz. - Asciugamani a Z</t>
  </si>
  <si>
    <t>//</t>
  </si>
  <si>
    <t>750 ml ( conf. da 12 pezzi) BAGNO FLASCH</t>
  </si>
  <si>
    <t>tanica da 5 litri (conf. da 4, pezzi) BIOFORM DISINFETTANTE</t>
  </si>
  <si>
    <t>750 ml (conf. da 16 pezzi) IGIEN WC GEL</t>
  </si>
  <si>
    <t>500 ml (conf. da 24 pezzi) KO ANTICALCARE</t>
  </si>
  <si>
    <t>750 ml (conf. da 15 flac)</t>
  </si>
  <si>
    <t>1 litro (conf. da 12 pezzi) - AMMONIACA PROFUMATA</t>
  </si>
  <si>
    <t>4 litri (conf. da 4 pezzi) - TOP CANDEGGINA PROF.</t>
  </si>
  <si>
    <t>5 litri (conf. da 4 pezzi) - AMUCHINA PROF.</t>
  </si>
  <si>
    <t>4 litri (conf. da 4 pezzi) - LAVER PAVIMENTI</t>
  </si>
  <si>
    <t>5 litri  (conf. da 4 pezzi) - EASY FLOREALE</t>
  </si>
  <si>
    <t>750 ml (conf. da 9 pezzi) - IGIEN FORTE</t>
  </si>
  <si>
    <t>750 ml (conf. da 9 pezzi) - IGIEN MULTIUSO</t>
  </si>
  <si>
    <t>5 litri (conf. da 4 pezzi) - DOLCE MANI</t>
  </si>
  <si>
    <t>5 litri (conf. da 4 pezzi) - AMUCHINA SAPONE MANI</t>
  </si>
  <si>
    <t>300ml (conf. da 12 pezzi) - MANGIAPOLVERE SUTTER</t>
  </si>
  <si>
    <t>4 litri (conf. da 4 pezzi) - TOP PIATTI</t>
  </si>
  <si>
    <t>12 KG - STOVIL 500</t>
  </si>
  <si>
    <t>10 KG - BRILL 500</t>
  </si>
  <si>
    <t>500 ml (conf. da 24 pezzi) - TOP INOX</t>
  </si>
  <si>
    <t>5 litri (conf. da 4 pezzi) - PLURALIA MARSIGLIA LIQUIDO</t>
  </si>
  <si>
    <t>5,538 KG - SOFT LAVATRICE</t>
  </si>
  <si>
    <t>0,600 KG (conf. da 18 pezzi) - SOLE BUCATO MANO</t>
  </si>
  <si>
    <t>INDAGINE DI MERCATO MATERIALE PULIZIE 2015-16</t>
  </si>
  <si>
    <t>1 paio (conf. da 12 paia)</t>
  </si>
  <si>
    <t>100 px (conf. da 10 scatole)</t>
  </si>
  <si>
    <t>4 pezzi</t>
  </si>
  <si>
    <t>100 pz (conf. da 10 scatole)</t>
  </si>
  <si>
    <t>/</t>
  </si>
  <si>
    <t>12 pezzi</t>
  </si>
  <si>
    <t>12 pezzi senza paracolpi</t>
  </si>
  <si>
    <t>1 pezzo cm 120</t>
  </si>
  <si>
    <t>1 pezzo cm 140</t>
  </si>
  <si>
    <t>400 pezzi (70x110)</t>
  </si>
  <si>
    <t>1 paio (zoccolo)</t>
  </si>
  <si>
    <t>3000 pezzi</t>
  </si>
  <si>
    <t>1 conf.da 10 Rot. -LILLY (CONF. DA 12 X 10)</t>
  </si>
  <si>
    <t>1 conf.da 10 Rot. - 1000 FIORI (CONF. DA 12 X 10)</t>
  </si>
  <si>
    <t>1 conf.da 4 Rot. -LA ROMAGNOLA</t>
  </si>
  <si>
    <t>1 conf. da 2 Rot. - OTTOCENTO</t>
  </si>
  <si>
    <t>1 conf. da 2 Rot. - BIRILLO</t>
  </si>
  <si>
    <t>3150 pz. - PAPERDIVIPAC</t>
  </si>
  <si>
    <t>1 pezzo ABS</t>
  </si>
  <si>
    <t>1 pezzo ABS ML 1000</t>
  </si>
  <si>
    <t>750 ml RACE SGRASSATORE</t>
  </si>
  <si>
    <t>750 ml RACE MULTIGIENE</t>
  </si>
  <si>
    <t>750 ml MISTER WC</t>
  </si>
  <si>
    <t>1 litro BIG ANTICALCARE</t>
  </si>
  <si>
    <t>1 litro GENIKEM</t>
  </si>
  <si>
    <t>2 litri GENIKEM</t>
  </si>
  <si>
    <t>4 litri</t>
  </si>
  <si>
    <t>4 litri (conf. da 4 pezzi) - BIOX PAVIMENTI</t>
  </si>
  <si>
    <t>5 litri  - RACE PAV</t>
  </si>
  <si>
    <t>750 ml - REMOVE</t>
  </si>
  <si>
    <t>750 ml - BIOX VETRI</t>
  </si>
  <si>
    <t>5 litri - BOMBER</t>
  </si>
  <si>
    <t>4 litri - DELY con antibatterico</t>
  </si>
  <si>
    <t>300ml - COMIN</t>
  </si>
  <si>
    <t>5 litri - PIENONE PIATTI</t>
  </si>
  <si>
    <t>12 litri - RACE WASH</t>
  </si>
  <si>
    <t>12 litri - RAVE BRILL</t>
  </si>
  <si>
    <t>1 KG - MEDUSA</t>
  </si>
  <si>
    <t>4 litri - MATRIX</t>
  </si>
  <si>
    <t>10 KG - MEDUSA</t>
  </si>
  <si>
    <t>1 KG - CLEAN</t>
  </si>
  <si>
    <t>2 pezzi - 40X45</t>
  </si>
  <si>
    <t>1 pezzo cm 130</t>
  </si>
  <si>
    <t>1 pezzo cm 150</t>
  </si>
  <si>
    <t>1 pezzo cm 300</t>
  </si>
  <si>
    <t>1500 pezzi (55x70)</t>
  </si>
  <si>
    <t>1 conf.da 10 Rot. -(CONF. DA 12 X 10)</t>
  </si>
  <si>
    <t>1 conf.da 60 Rot.</t>
  </si>
  <si>
    <t>1 conf. da 2 Rot. - ELLY</t>
  </si>
  <si>
    <t>1 conf. da 2 Rot. - ADY</t>
  </si>
  <si>
    <t xml:space="preserve">3060 pz. </t>
  </si>
  <si>
    <t xml:space="preserve">1 pezzo </t>
  </si>
  <si>
    <t>750 ml (conf. 12 pezzi)</t>
  </si>
  <si>
    <t>5 litri (conf. da 4 taniche)</t>
  </si>
  <si>
    <t>750 ml (conf. da 12 pezzi)</t>
  </si>
  <si>
    <t>500 ml (conf. da 24 pezzi)</t>
  </si>
  <si>
    <t>1 litro (conf. da 20 pezzi)</t>
  </si>
  <si>
    <t>1 litro (conf. da 12 pezzi)</t>
  </si>
  <si>
    <t>2 litri (conf. da 6 pezzi)</t>
  </si>
  <si>
    <t>5 KG (conf. da 4 taniche)</t>
  </si>
  <si>
    <t>750 ml (conf. da 20 pezzi)</t>
  </si>
  <si>
    <t>750 ml (conf. da 18 pezzi)</t>
  </si>
  <si>
    <t>3 litri (conf. da 6 pezzi)</t>
  </si>
  <si>
    <t>8 KG</t>
  </si>
  <si>
    <t>260 Gr (conf. da 14 pezzi)</t>
  </si>
  <si>
    <t>1 paio (conf. da 12 pezzi)</t>
  </si>
  <si>
    <t>100 pz (conf. da 10 pezzi)</t>
  </si>
  <si>
    <t>5 pezzi (conf. da 20 scatole)</t>
  </si>
  <si>
    <t>1 pezzo senza manico</t>
  </si>
  <si>
    <t>1 pezzo in legno cm 150</t>
  </si>
  <si>
    <t>2 pezzi separati</t>
  </si>
  <si>
    <t>3 pezzi separati</t>
  </si>
  <si>
    <t>rotolo da 50 pz. (conf. da 30 rotoli)</t>
  </si>
  <si>
    <t>rotolo da 20 pz. (conf. da 18 rotoli)</t>
  </si>
  <si>
    <t>cartone da 18 pz</t>
  </si>
  <si>
    <t>1 pezzo (500 ml) conf. 12 pz</t>
  </si>
  <si>
    <t>1 pezzo conf. 24 pz</t>
  </si>
  <si>
    <t>conf. 100 pezzi (scat. Da 30 conf,)</t>
  </si>
  <si>
    <t>CARTA IGIENICA / BOBINE ASCIUGATUTTO SALVIETTE E SAPONE MANI</t>
  </si>
  <si>
    <t>SCOPA LINEARE A FRANGE cm.60 completa di manico + telaio</t>
  </si>
  <si>
    <t>SCOPA LINEARE A FRANGE cm.80 completa di manico + telaio</t>
  </si>
  <si>
    <t>RICAMBIO SCOPA LINEARE A FRANGE in cotone filo grosso cm.60</t>
  </si>
  <si>
    <t>RICAMBIO SCOPA LINEARE A FRANGE in cotone filo grosso cm.80</t>
  </si>
  <si>
    <t>DETERGENTI PER LAVATRICE E BUCATO A MANO</t>
  </si>
  <si>
    <t>DETERGENTI E SGRASSATORI PER PAVIMENTI, SUPERFICI LAVABILI E VETRI</t>
  </si>
  <si>
    <t>CANDEGGINA NON PROFUMATA flac. da litri …………………</t>
  </si>
  <si>
    <t>DETERGENTE per lavaggio PAVIMENTI SGRASSANTE MULTIUSO - per uso quotidiano - tanica da litri …………………</t>
  </si>
  <si>
    <t>SGRASSATORE SPRAY tipo Chanteclair.</t>
  </si>
  <si>
    <t xml:space="preserve">SAPONE MARSIGLIA PZ. 2 </t>
  </si>
  <si>
    <t>MOP COTONE gr.280 filo fine</t>
  </si>
  <si>
    <t>quantità richiesta</t>
  </si>
  <si>
    <t>Prezzo al pezzo</t>
  </si>
  <si>
    <t>ISTITUTO COMPRENSIVO "SAN FRANCESCO" JESI</t>
  </si>
  <si>
    <t>ORDINE MATERIALE DI PULIZIA PLESSO SCUOLA PRIMARIA COLLODI VIALE VERDI, 27 - 60035 JESI</t>
  </si>
  <si>
    <t>Spesa Tot.</t>
  </si>
  <si>
    <t>ORDINE MATERIALE DI PULIZIA PLESSO SCUOLA INFANZIA RODARI VIALE M.L.KING, - 60035 JESI</t>
  </si>
  <si>
    <t>ORDINE MAT. DI PULIZIA PLESSO SC. SEC. di 1° grado "Lorenzini " -VIA L. Lotto, 14 - 60035 JESI</t>
  </si>
  <si>
    <t>ORDINE MATERIALE DI PULIZIA PER UFFICI DI SEGRETERIA E PALESTRA COLLODI VIALE VERDI, 29 - 60035 JESI</t>
  </si>
  <si>
    <t>DETERSHOP - ANCONA -</t>
  </si>
  <si>
    <t>DETERSHOP - ANCONA</t>
  </si>
  <si>
    <r>
      <t xml:space="preserve">ROTOLO / BOBINA ASCIUGATUTTO in 100% ovatta di cellulosa, 2 veli morbida, goffrata, colore bianco, </t>
    </r>
    <r>
      <rPr>
        <b/>
        <sz val="11"/>
        <rFont val="Times New Roman"/>
        <family val="1"/>
      </rPr>
      <t>800 STRAPPI</t>
    </r>
    <r>
      <rPr>
        <sz val="11"/>
        <rFont val="Times New Roman"/>
        <family val="1"/>
      </rPr>
      <t xml:space="preserve"> con </t>
    </r>
    <r>
      <rPr>
        <b/>
        <sz val="11"/>
        <rFont val="Times New Roman"/>
        <family val="1"/>
      </rPr>
      <t>dimensione min.</t>
    </r>
    <r>
      <rPr>
        <sz val="11"/>
        <rFont val="Times New Roman"/>
        <family val="1"/>
      </rPr>
      <t xml:space="preserve"> dello strappo 230x230 mm – </t>
    </r>
    <r>
      <rPr>
        <b/>
        <sz val="11"/>
        <rFont val="Times New Roman"/>
        <family val="1"/>
      </rPr>
      <t xml:space="preserve">grammatura min. </t>
    </r>
    <r>
      <rPr>
        <sz val="11"/>
        <rFont val="Times New Roman"/>
        <family val="1"/>
      </rPr>
      <t xml:space="preserve">gr/mq per velo 25gr </t>
    </r>
    <r>
      <rPr>
        <b/>
        <sz val="11"/>
        <rFont val="Times New Roman"/>
        <family val="1"/>
      </rPr>
      <t>– Confezione  da ……….. rotoli</t>
    </r>
    <r>
      <rPr>
        <sz val="11"/>
        <rFont val="Times New Roman"/>
        <family val="1"/>
      </rPr>
      <t xml:space="preserve"> </t>
    </r>
  </si>
  <si>
    <t>PORTA ASCIUGAMANI  a parete</t>
  </si>
  <si>
    <t xml:space="preserve">PORTAROTOLO CARTA IGIENICA (solo il singolo pezzo con la molla) </t>
  </si>
  <si>
    <t>SAPONE LIQUIDO LAVAMANI. Dermoprotettivo. Dermatologicamente testato. Tanica da litri 5</t>
  </si>
  <si>
    <t>SAPONE MANI tipo AMUCHINA. Tanica da litri  ……….
Marca/Denomin. Comm.le ……………………………..…..……..</t>
  </si>
  <si>
    <t>AMMONIACA NON PROFUMATA flac. da litri ………..</t>
  </si>
  <si>
    <t>STERIX CLORO PASTICCHE conf. da ……………….. Pezzi</t>
  </si>
  <si>
    <t>DETERGENTE per lavaggio PAVIMENTI - SUPERFICI DURE - per uso quotidiano - tanica da litri …………………</t>
  </si>
  <si>
    <t>DETERSIVO PER BUCATO A MANO - Conf. da Kg ……………</t>
  </si>
  <si>
    <t>GUANTI IN LATTICE MONOUSO taglia M / L /XL /XXL senza polvere</t>
  </si>
  <si>
    <t>PANNO SPUGNA cm. ………. x cm. ……. conf. da …………... pz.</t>
  </si>
  <si>
    <t>PANNI MULTIUSO in MICROFIBRA PER BANCHI E SCRIVANIE tipo "Vileda Microtuff" cm. ……….x ………..</t>
  </si>
  <si>
    <t xml:space="preserve">PANNO SPOLVERO SCOZZESE </t>
  </si>
  <si>
    <t xml:space="preserve">PANNO VETRI cm. …….. x cm……...      </t>
  </si>
  <si>
    <t xml:space="preserve">PANNO PAVIMENTI tipo Vileda  misura media </t>
  </si>
  <si>
    <t>VELINE PER SCOPA LINEARE</t>
  </si>
  <si>
    <t>STRACCIO PER PAVIMENTI  PICCOLO in cotone</t>
  </si>
  <si>
    <t>STRACCIO PER PAVIMENTI GRANDE in cotone</t>
  </si>
  <si>
    <t>STRACCIO PER PAVIMENTI in microfibra</t>
  </si>
  <si>
    <t xml:space="preserve">MANICO IN ALLUMINIO alta qualità cm. …….. </t>
  </si>
  <si>
    <t>MANICO IN ALLUMINIO alta qualità cm.  ……….</t>
  </si>
  <si>
    <t>RICAMBIO MOP cotone per pinza base rettangolare</t>
  </si>
  <si>
    <t>MOP COTONE gr.280 filo grosso</t>
  </si>
  <si>
    <t>MANICO PER MOP</t>
  </si>
  <si>
    <t>SECCHIO CON STRIZZINO</t>
  </si>
  <si>
    <t xml:space="preserve">RAGNATORE con manico allungabile 85/150 </t>
  </si>
  <si>
    <t>RASCHIETTO COMPLETO LAME</t>
  </si>
  <si>
    <t>RASCHIETTO SENZA LAME</t>
  </si>
  <si>
    <t>LAME PER RASCHIETTO</t>
  </si>
  <si>
    <t>PIUMINO SPOLVERO ANTISTATICO ALLUNGABILE</t>
  </si>
  <si>
    <t>SACCHI PICCOLI   x rifiuti  alta resistenza</t>
  </si>
  <si>
    <t>SACCHI GRANDI x rifiuti  alta resistenza</t>
  </si>
  <si>
    <t>CLIP FERMASACCO</t>
  </si>
  <si>
    <t>SCOPINO X WC</t>
  </si>
  <si>
    <t>INSETTICIDA MOSCHE spray ml. ……</t>
  </si>
  <si>
    <t>INSETTICIDA FORMICHE spray ml. ……</t>
  </si>
  <si>
    <t>DEODORANTE SPRAY ml. …………... profumazioni varie</t>
  </si>
  <si>
    <t>1 conf.da 10 Rot. (10 X 10)</t>
  </si>
  <si>
    <t xml:space="preserve">1 conf. da 2 Rot. </t>
  </si>
  <si>
    <t>non disponibile</t>
  </si>
  <si>
    <t>1 pezzo da 500 ml</t>
  </si>
  <si>
    <t>1 pz. tanica 5 lt.</t>
  </si>
  <si>
    <t>1 pz.  Lt. 0,500</t>
  </si>
  <si>
    <t>1 pz.  Lt. 0,750</t>
  </si>
  <si>
    <t xml:space="preserve">1 pz. -750 ML </t>
  </si>
  <si>
    <t xml:space="preserve">1 pz. - 1L </t>
  </si>
  <si>
    <t xml:space="preserve">1 pz. -2 litri </t>
  </si>
  <si>
    <t xml:space="preserve">1 pz. -5 litri </t>
  </si>
  <si>
    <t xml:space="preserve"> kg 1000-333 pz</t>
  </si>
  <si>
    <t xml:space="preserve">1 pz. -5 LT </t>
  </si>
  <si>
    <t xml:space="preserve">1 pz. -750 ml </t>
  </si>
  <si>
    <t>1 pz.-750 ml c/spruzzino</t>
  </si>
  <si>
    <t xml:space="preserve">300ml  - </t>
  </si>
  <si>
    <t>1 pz. - 750 ml</t>
  </si>
  <si>
    <t xml:space="preserve">1 pezzo -LT. 3  </t>
  </si>
  <si>
    <t xml:space="preserve"> FUSTO da 8 KG</t>
  </si>
  <si>
    <t xml:space="preserve">Polvere 960 gr. </t>
  </si>
  <si>
    <t>100 pz. senza polvere</t>
  </si>
  <si>
    <t>non offerto</t>
  </si>
  <si>
    <t>3 pezzi a conf.</t>
  </si>
  <si>
    <t>3 pz. cm. 18 x 20</t>
  </si>
  <si>
    <t>1 pz. cm. 40 x 40</t>
  </si>
  <si>
    <t>1 pz. cm. 50x50</t>
  </si>
  <si>
    <t>cm. 29 x 22 -10 pz.</t>
  </si>
  <si>
    <t xml:space="preserve">cm. 38 x 38 </t>
  </si>
  <si>
    <t>Conf. 10 pz. cm.70 x 40</t>
  </si>
  <si>
    <t>Conf.  100 pz  cm.22 x 60</t>
  </si>
  <si>
    <t xml:space="preserve">1 pz. cm. 43 x 60 </t>
  </si>
  <si>
    <t xml:space="preserve">1 pz. cm. 90 x 43     </t>
  </si>
  <si>
    <t xml:space="preserve">1 pz. cm. 60 x 40     </t>
  </si>
  <si>
    <t>1 pz.cm. 150</t>
  </si>
  <si>
    <t>1 pz. cm.150 c/filetto</t>
  </si>
  <si>
    <t>1 pz. cm.150 c/foro</t>
  </si>
  <si>
    <t xml:space="preserve">1 pz. </t>
  </si>
  <si>
    <t>1 pz. Mod. a C</t>
  </si>
  <si>
    <t>raschietto + 1 lama</t>
  </si>
  <si>
    <t xml:space="preserve">100 pz. </t>
  </si>
  <si>
    <t xml:space="preserve">rotolo da 20 pz. cm. 50 x 60 </t>
  </si>
  <si>
    <t xml:space="preserve">rotolo da 10 pz. cm.70 x 110 </t>
  </si>
  <si>
    <t>elastico ferma sacco***</t>
  </si>
  <si>
    <t>1 pz. (400 ml)</t>
  </si>
  <si>
    <t>1 pz. (300 ml)</t>
  </si>
  <si>
    <t xml:space="preserve"> TOTALE IVA COMPRESA </t>
  </si>
  <si>
    <t xml:space="preserve">IVA AL 22%  </t>
  </si>
  <si>
    <r>
      <t xml:space="preserve">GUANTI IN NITRILE MONOUSO </t>
    </r>
    <r>
      <rPr>
        <sz val="11"/>
        <color indexed="10"/>
        <rFont val="Times New Roman"/>
        <family val="1"/>
      </rPr>
      <t xml:space="preserve">taglia M </t>
    </r>
  </si>
  <si>
    <r>
      <t xml:space="preserve">GUANTI IN NITRILE MONOUSO  </t>
    </r>
    <r>
      <rPr>
        <sz val="11"/>
        <color indexed="10"/>
        <rFont val="Times New Roman"/>
        <family val="1"/>
      </rPr>
      <t>n. 5 scatole taglia M + n.5 scatole taglia L</t>
    </r>
  </si>
  <si>
    <t>DEODORANTE SPRAY ml. . profumazioni varie</t>
  </si>
  <si>
    <t>ORDINE MAT.  PULIZIA PLESSO SC. INFANZIA SBRISCIA VIALE VERDI,  n.25 - 60035 JESI</t>
  </si>
  <si>
    <t>1 pz.  5 lt.</t>
  </si>
  <si>
    <t xml:space="preserve">Polv. 960 gr. </t>
  </si>
  <si>
    <r>
      <t>GUANTI IN GOMMA FELPATI per PULIZIE</t>
    </r>
    <r>
      <rPr>
        <sz val="11"/>
        <color indexed="10"/>
        <rFont val="Times New Roman"/>
        <family val="1"/>
      </rPr>
      <t xml:space="preserve"> taglia M n.10 + n. 10 taglia L</t>
    </r>
  </si>
  <si>
    <t>TAPPETO ANTISCIVOLO 90 X120 antracite</t>
  </si>
  <si>
    <t>ASCIUGAMANI piegati a  C  pura cellulosa due veli</t>
  </si>
  <si>
    <t>DETERGENTE PER BAGNO /   - flac. da 0,750 / 1 litro (specificare)</t>
  </si>
  <si>
    <t xml:space="preserve">CANDEGGINA NON PROFUMATA flac. da litri </t>
  </si>
  <si>
    <t>STERIX CLORO PASTICCHE conf. da . Pezzi</t>
  </si>
  <si>
    <t>MANGIAPOLVERE antistatico.  Flac. da litri</t>
  </si>
  <si>
    <t>PANNO SPUGNA cm. …. x cm. …. conf. da .. pz.</t>
  </si>
  <si>
    <r>
      <t>GUANTI NITRILE MONOUSO</t>
    </r>
    <r>
      <rPr>
        <sz val="11"/>
        <color indexed="10"/>
        <rFont val="Times New Roman"/>
        <family val="1"/>
      </rPr>
      <t xml:space="preserve"> taglia M  n.15 + n. 5 taglia L </t>
    </r>
  </si>
  <si>
    <t>ASCIUGAMANI piegati a C. in pura cellulosa due veli</t>
  </si>
  <si>
    <t xml:space="preserve">SAPONE MANI tipo AMUCHINA. Tanica da litri  Marca/Denomin. Comm.le </t>
  </si>
  <si>
    <t>SAPONE MANI tipo AMUCHINA. Tanica da litri ..Marca/Denomin. Comm.le</t>
  </si>
  <si>
    <t>1 pz. 5 lt.</t>
  </si>
  <si>
    <t>STERIX CLORO PASTICCHE conf. da ….. Pezzi</t>
  </si>
  <si>
    <t>CANDEGGINA PROFUMATA flac. da litri …</t>
  </si>
  <si>
    <t>CANDEGGINA NON PROFUMATA flac. da litri …</t>
  </si>
  <si>
    <t>AMMONIACA NON PROFUMATA flac. da litri ….</t>
  </si>
  <si>
    <t>DETERGENTE tipo AMUCHINA flac. da litri ….</t>
  </si>
  <si>
    <t>AMMONIACA PROFUMATA flac. da litri …</t>
  </si>
  <si>
    <t xml:space="preserve">DETERGENTE per lavaggio PAVIMENTI SGRASSANTE MULTIUSO - per uso quotidiano - tanica da litri </t>
  </si>
  <si>
    <t>DETERGENTE per lavaggio PAVIMENTI - SUPERFICI DURE - per uso quotidiano - tanica da litri ..</t>
  </si>
  <si>
    <t>PANNO SPUGNA cm. . x cm. … conf. da .. pz.</t>
  </si>
  <si>
    <t>PANNI MULTIUSO in MICROFIBRA PER BANCHI E SCRIVANIE tipo "Vileda Microtuff" cm. ….x ..</t>
  </si>
  <si>
    <t>SUPPORTO SNODATO X VELLO LAVAVETRI cm 35</t>
  </si>
  <si>
    <t xml:space="preserve">SAPONE MANI tipo AMUCHINA. Tanica da litri ... Marca/Denomin. Comm.le </t>
  </si>
  <si>
    <t>PANNO SPUGNA cm. … x cm. .. conf. da ... pz.</t>
  </si>
  <si>
    <t>STERIX CLORO PASTICCHE conf. da … Pezzi</t>
  </si>
  <si>
    <t>DETERGENTI X LAVATRICE e BUCATO A MANO</t>
  </si>
  <si>
    <t xml:space="preserve"> Fusto da 8 KG</t>
  </si>
  <si>
    <t>DETERSIVO POLV. X LAVATRICE - Fusto da Kg. .</t>
  </si>
  <si>
    <t xml:space="preserve">DETERSIVO LIQUIDO PER LAVATRICE - Tan. da litri </t>
  </si>
  <si>
    <t>DETERSIVO PER BUCATO A MANO - Conf. da Kg …</t>
  </si>
  <si>
    <r>
      <t>Guanti in Gomma felpati x pulizie</t>
    </r>
    <r>
      <rPr>
        <sz val="11"/>
        <color indexed="10"/>
        <rFont val="Times New Roman"/>
        <family val="1"/>
      </rPr>
      <t xml:space="preserve"> taglia M n. 6 + n. 6 taglia L</t>
    </r>
  </si>
  <si>
    <t xml:space="preserve">GUANTI IN NITRILE MONOUSO taglia  L </t>
  </si>
  <si>
    <t>SUPPORTO SNODATO x VELLO LAVAVETRI cm 35</t>
  </si>
  <si>
    <t>DETERGENTE tipo AMUCHINA flac. da litri …</t>
  </si>
  <si>
    <t xml:space="preserve">CANDEGGINA PROFUMATA flac. da litri </t>
  </si>
  <si>
    <t>ALCOOL DENATURATO flac. da litri …</t>
  </si>
  <si>
    <t xml:space="preserve">DETERGENTE per lavaggio PAVIMENTI - SUPERFICI DURE - per uso quotidiano - tanica da litri </t>
  </si>
  <si>
    <t>DETERGENTE PER BAGNO / - flac. da 0,750 / 1 litro (specificare)</t>
  </si>
  <si>
    <t>DETERGENTE PULIZIA LAV.  RUBINETTERIE ECC. x SPORCO GRASSO TIPO CIF (NON IN CREMA) - flac. da 0,750 / 1 litro (specif.)</t>
  </si>
  <si>
    <t>MANGIAPOLVERE antistatico.  Flac. da litri …</t>
  </si>
  <si>
    <t>DETERSIVO POLVERE LAV. - Fusto da Kg. ….</t>
  </si>
  <si>
    <t>DETERSIVO LIQUIDO x LAVATRICE - Tan. da litri …</t>
  </si>
  <si>
    <t>DETERSIVO  x BUCATO A MANO - Conf. da Kg …</t>
  </si>
  <si>
    <t>GUANTI IN GOMMA FELPATI  taglie M / L / XL</t>
  </si>
  <si>
    <t>CARRELLO A RUOTE  2 SECCHI STRIZZA-MOP</t>
  </si>
  <si>
    <t>DEODORANTE SPRAY ml. .. profumazioni varie</t>
  </si>
  <si>
    <t>ORDINE MAT. DI PULIZIA PLESSO SC. PRIM. CAPPANNINI VIALE M.L.KING, - 60035 JESI</t>
  </si>
  <si>
    <t>PANNI MULTIUSO in MICROFIBRA PER BANCHI E SCRIVANIE tipo "Vileda Microtuff" cm. .x ..</t>
  </si>
  <si>
    <t>PANNO SPUGNA cm. … x cm. . conf. da .. pz.</t>
  </si>
  <si>
    <t>conf. a pz</t>
  </si>
  <si>
    <t>conf.ne pz</t>
  </si>
  <si>
    <t>TOTALE GENERALE</t>
  </si>
  <si>
    <t>UFFICI-PALESTRA</t>
  </si>
  <si>
    <t>COLLODI</t>
  </si>
  <si>
    <t>CAPPANNINI</t>
  </si>
  <si>
    <t>SBRISCIA</t>
  </si>
  <si>
    <t>RODARI</t>
  </si>
  <si>
    <t>LORENZINI</t>
  </si>
  <si>
    <t>TOTALE IMPONIBILE IVA 22%</t>
  </si>
  <si>
    <t>TOTALE IMPONIBILE IVA 5%</t>
  </si>
  <si>
    <t>IVA AL 5%</t>
  </si>
  <si>
    <t>TOTALE IMPONIBILE 22%</t>
  </si>
  <si>
    <t>TOTALE IVA 22%</t>
  </si>
  <si>
    <t>TOTALE IMPONIBILE 5%</t>
  </si>
  <si>
    <t>TOTALE IVA 5%</t>
  </si>
  <si>
    <t>FATTURA</t>
  </si>
  <si>
    <t>IMPONIBILE</t>
  </si>
  <si>
    <t>IVA</t>
  </si>
  <si>
    <t>TAPPETO ANTISCIVOLO 90 X 120 antracite</t>
  </si>
  <si>
    <r>
      <t>GUANTI IN NITRILE</t>
    </r>
    <r>
      <rPr>
        <sz val="11"/>
        <color indexed="10"/>
        <rFont val="Times New Roman"/>
        <family val="1"/>
      </rPr>
      <t xml:space="preserve"> MONOUSO (n.10 taglia M) + (2 taglia L)</t>
    </r>
  </si>
  <si>
    <t>RASCHIETTO triangolare medio</t>
  </si>
  <si>
    <t>DETERGENTE BUTIMIX -  per sciogliere colla e cc.</t>
  </si>
  <si>
    <r>
      <t>ATTREZZO PER VELINE</t>
    </r>
    <r>
      <rPr>
        <b/>
        <sz val="11"/>
        <rFont val="Times New Roman"/>
        <family val="1"/>
      </rPr>
      <t xml:space="preserve"> cm. 40</t>
    </r>
  </si>
  <si>
    <t>conf. da 5 litri Lucidante x Linoleum PAVILIX</t>
  </si>
  <si>
    <t>ATTREZZO PER VELINE CM. 60</t>
  </si>
</sst>
</file>

<file path=xl/styles.xml><?xml version="1.0" encoding="utf-8"?>
<styleSheet xmlns="http://schemas.openxmlformats.org/spreadsheetml/2006/main">
  <numFmts count="4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0.000"/>
    <numFmt numFmtId="173" formatCode="_-&quot;L.&quot;\ * #,##0.00_-;\-&quot;L.&quot;\ * #,##0.00_-;_-&quot;L.&quot;\ * &quot;-&quot;??_-;_-@_-"/>
    <numFmt numFmtId="174" formatCode="_-[$€-410]\ * #,##0.00_-;\-[$€-410]\ * #,##0.00_-;_-[$€-410]\ * &quot;-&quot;??_-;_-@_-"/>
    <numFmt numFmtId="175" formatCode="&quot;Sì&quot;;&quot;Sì&quot;;&quot;No&quot;"/>
    <numFmt numFmtId="176" formatCode="&quot;Vero&quot;;&quot;Vero&quot;;&quot;Falso&quot;"/>
    <numFmt numFmtId="177" formatCode="&quot;Attivo&quot;;&quot;Attivo&quot;;&quot;Inattivo&quot;"/>
    <numFmt numFmtId="178" formatCode="[$€-2]\ #.##000_);[Red]\([$€-2]\ #.##000\)"/>
    <numFmt numFmtId="179" formatCode="0.0"/>
    <numFmt numFmtId="180" formatCode="&quot;Attivo&quot;;&quot;Attivo&quot;;&quot;Disattivo&quot;"/>
    <numFmt numFmtId="181" formatCode="0.0000"/>
    <numFmt numFmtId="182" formatCode="0.00000"/>
    <numFmt numFmtId="183" formatCode="0.000000"/>
    <numFmt numFmtId="184" formatCode="0.0000000"/>
    <numFmt numFmtId="185" formatCode="0.00000000"/>
    <numFmt numFmtId="186" formatCode="0.000000000"/>
    <numFmt numFmtId="187" formatCode="0.0000000000"/>
    <numFmt numFmtId="188" formatCode="0.00000000000"/>
    <numFmt numFmtId="189" formatCode="0.000000000000"/>
    <numFmt numFmtId="190" formatCode="#,##0.00;[Red]#,##0.00"/>
    <numFmt numFmtId="191" formatCode="0;[Red]0"/>
    <numFmt numFmtId="192" formatCode="[$€-2]\ #,##0.00;[Red]\-[$€-2]\ #,##0.00"/>
    <numFmt numFmtId="193" formatCode="_-* #,##0.000\ &quot;€&quot;_-;\-* #,##0.000\ &quot;€&quot;_-;_-* &quot;-&quot;???\ &quot;€&quot;_-;_-@_-"/>
    <numFmt numFmtId="194" formatCode="[$€-2]\ #,##0.00;\-[$€-2]\ #,##0.00"/>
    <numFmt numFmtId="195" formatCode="_-* #,##0_-;\-* #,##0_-;_-* &quot;-&quot;??_-;_-@_-"/>
    <numFmt numFmtId="196" formatCode="#,##0.00_ ;\-#,##0.00\ "/>
    <numFmt numFmtId="197" formatCode="#,##0.000;[Red]#,##0.000"/>
  </numFmts>
  <fonts count="58">
    <font>
      <sz val="10"/>
      <name val="Arial"/>
      <family val="0"/>
    </font>
    <font>
      <sz val="11"/>
      <color indexed="8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sz val="12"/>
      <name val="Times New Roman"/>
      <family val="1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4"/>
      <name val="Arial"/>
      <family val="2"/>
    </font>
    <font>
      <b/>
      <sz val="12"/>
      <name val="Times New Roman"/>
      <family val="1"/>
    </font>
    <font>
      <b/>
      <i/>
      <sz val="12"/>
      <name val="Times New Roman"/>
      <family val="1"/>
    </font>
    <font>
      <sz val="11"/>
      <name val="Arial"/>
      <family val="2"/>
    </font>
    <font>
      <b/>
      <i/>
      <sz val="11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name val="Arial"/>
      <family val="2"/>
    </font>
    <font>
      <b/>
      <sz val="10"/>
      <name val="Arial Narrow"/>
      <family val="2"/>
    </font>
    <font>
      <b/>
      <sz val="9"/>
      <name val="Arial Narrow"/>
      <family val="2"/>
    </font>
    <font>
      <i/>
      <sz val="12"/>
      <name val="Times New Roman"/>
      <family val="1"/>
    </font>
    <font>
      <sz val="10"/>
      <name val="Times New Roman"/>
      <family val="1"/>
    </font>
    <font>
      <sz val="11"/>
      <color indexed="10"/>
      <name val="Times New Roman"/>
      <family val="1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Times New Roman"/>
      <family val="1"/>
    </font>
    <font>
      <sz val="11"/>
      <color rgb="FFC00000"/>
      <name val="Times New Roman"/>
      <family val="1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1" applyNumberFormat="0" applyAlignment="0" applyProtection="0"/>
    <xf numFmtId="0" fontId="42" fillId="0" borderId="2" applyNumberFormat="0" applyFill="0" applyAlignment="0" applyProtection="0"/>
    <xf numFmtId="0" fontId="43" fillId="21" borderId="3" applyNumberForma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4" fillId="28" borderId="1" applyNumberFormat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45" fillId="29" borderId="0" applyNumberFormat="0" applyBorder="0" applyAlignment="0" applyProtection="0"/>
    <xf numFmtId="0" fontId="1" fillId="30" borderId="4" applyNumberFormat="0" applyFont="0" applyAlignment="0" applyProtection="0"/>
    <xf numFmtId="0" fontId="46" fillId="20" borderId="5" applyNumberFormat="0" applyAlignment="0" applyProtection="0"/>
    <xf numFmtId="9" fontId="1" fillId="0" borderId="0" applyFon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31" borderId="0" applyNumberFormat="0" applyBorder="0" applyAlignment="0" applyProtection="0"/>
    <xf numFmtId="0" fontId="55" fillId="32" borderId="0" applyNumberFormat="0" applyBorder="0" applyAlignment="0" applyProtection="0"/>
    <xf numFmtId="173" fontId="0" fillId="0" borderId="0" applyFont="0" applyFill="0" applyBorder="0" applyAlignment="0" applyProtection="0"/>
    <xf numFmtId="170" fontId="1" fillId="0" borderId="0" applyFont="0" applyFill="0" applyBorder="0" applyAlignment="0" applyProtection="0"/>
  </cellStyleXfs>
  <cellXfs count="245">
    <xf numFmtId="0" fontId="0" fillId="0" borderId="0" xfId="0" applyAlignment="1">
      <alignment/>
    </xf>
    <xf numFmtId="2" fontId="0" fillId="0" borderId="10" xfId="0" applyNumberFormat="1" applyBorder="1" applyAlignment="1">
      <alignment horizontal="right" vertical="center"/>
    </xf>
    <xf numFmtId="2" fontId="0" fillId="0" borderId="10" xfId="0" applyNumberFormat="1" applyBorder="1" applyAlignment="1">
      <alignment vertical="center"/>
    </xf>
    <xf numFmtId="0" fontId="4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2" fontId="0" fillId="0" borderId="11" xfId="0" applyNumberFormat="1" applyBorder="1" applyAlignment="1">
      <alignment vertical="center"/>
    </xf>
    <xf numFmtId="2" fontId="0" fillId="0" borderId="11" xfId="0" applyNumberFormat="1" applyBorder="1" applyAlignment="1">
      <alignment horizontal="right" vertical="center"/>
    </xf>
    <xf numFmtId="2" fontId="0" fillId="0" borderId="11" xfId="0" applyNumberFormat="1" applyBorder="1" applyAlignment="1">
      <alignment vertical="center" wrapText="1"/>
    </xf>
    <xf numFmtId="2" fontId="0" fillId="0" borderId="11" xfId="0" applyNumberFormat="1" applyFill="1" applyBorder="1" applyAlignment="1">
      <alignment vertical="center"/>
    </xf>
    <xf numFmtId="172" fontId="0" fillId="0" borderId="0" xfId="0" applyNumberFormat="1" applyBorder="1" applyAlignment="1">
      <alignment vertic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/>
    </xf>
    <xf numFmtId="172" fontId="0" fillId="0" borderId="12" xfId="0" applyNumberForma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2" fontId="0" fillId="0" borderId="15" xfId="0" applyNumberFormat="1" applyBorder="1" applyAlignment="1">
      <alignment vertical="center"/>
    </xf>
    <xf numFmtId="0" fontId="0" fillId="0" borderId="14" xfId="0" applyFont="1" applyFill="1" applyBorder="1" applyAlignment="1">
      <alignment horizontal="center" vertical="center" wrapText="1"/>
    </xf>
    <xf numFmtId="172" fontId="0" fillId="0" borderId="15" xfId="0" applyNumberFormat="1" applyFill="1" applyBorder="1" applyAlignment="1">
      <alignment vertical="center"/>
    </xf>
    <xf numFmtId="0" fontId="0" fillId="0" borderId="14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72" fontId="0" fillId="0" borderId="16" xfId="0" applyNumberFormat="1" applyBorder="1" applyAlignment="1">
      <alignment vertical="center"/>
    </xf>
    <xf numFmtId="165" fontId="0" fillId="0" borderId="11" xfId="45" applyFont="1" applyBorder="1" applyAlignment="1">
      <alignment vertical="center"/>
    </xf>
    <xf numFmtId="165" fontId="0" fillId="0" borderId="11" xfId="45" applyFont="1" applyBorder="1" applyAlignment="1">
      <alignment vertical="center" wrapText="1"/>
    </xf>
    <xf numFmtId="2" fontId="0" fillId="0" borderId="17" xfId="0" applyNumberFormat="1" applyBorder="1" applyAlignment="1">
      <alignment vertical="center" wrapText="1"/>
    </xf>
    <xf numFmtId="0" fontId="0" fillId="0" borderId="18" xfId="0" applyFont="1" applyBorder="1" applyAlignment="1">
      <alignment horizontal="center" vertical="center"/>
    </xf>
    <xf numFmtId="2" fontId="0" fillId="0" borderId="17" xfId="0" applyNumberFormat="1" applyBorder="1" applyAlignment="1">
      <alignment vertical="center"/>
    </xf>
    <xf numFmtId="172" fontId="0" fillId="0" borderId="19" xfId="0" applyNumberFormat="1" applyBorder="1" applyAlignment="1">
      <alignment vertical="center"/>
    </xf>
    <xf numFmtId="0" fontId="0" fillId="0" borderId="0" xfId="0" applyAlignment="1">
      <alignment vertical="center"/>
    </xf>
    <xf numFmtId="0" fontId="0" fillId="0" borderId="0" xfId="0" applyBorder="1" applyAlignment="1">
      <alignment vertical="center"/>
    </xf>
    <xf numFmtId="0" fontId="0" fillId="0" borderId="11" xfId="0" applyBorder="1" applyAlignment="1">
      <alignment vertical="center"/>
    </xf>
    <xf numFmtId="181" fontId="0" fillId="0" borderId="15" xfId="0" applyNumberFormat="1" applyBorder="1" applyAlignment="1">
      <alignment vertical="center"/>
    </xf>
    <xf numFmtId="0" fontId="0" fillId="0" borderId="18" xfId="0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/>
    </xf>
    <xf numFmtId="165" fontId="0" fillId="33" borderId="11" xfId="45" applyFont="1" applyFill="1" applyBorder="1" applyAlignment="1">
      <alignment vertical="center" wrapText="1"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20" xfId="0" applyBorder="1" applyAlignment="1">
      <alignment horizontal="center" vertical="center"/>
    </xf>
    <xf numFmtId="0" fontId="0" fillId="0" borderId="21" xfId="0" applyFont="1" applyBorder="1" applyAlignment="1">
      <alignment horizontal="center" vertical="center" wrapText="1"/>
    </xf>
    <xf numFmtId="0" fontId="0" fillId="0" borderId="22" xfId="0" applyBorder="1" applyAlignment="1">
      <alignment vertical="center"/>
    </xf>
    <xf numFmtId="0" fontId="5" fillId="0" borderId="23" xfId="0" applyFont="1" applyBorder="1" applyAlignment="1">
      <alignment vertical="center" wrapText="1"/>
    </xf>
    <xf numFmtId="0" fontId="5" fillId="0" borderId="23" xfId="0" applyFont="1" applyBorder="1" applyAlignment="1">
      <alignment horizontal="justify" vertical="center" wrapText="1"/>
    </xf>
    <xf numFmtId="0" fontId="5" fillId="0" borderId="24" xfId="0" applyFont="1" applyBorder="1" applyAlignment="1">
      <alignment vertical="center" wrapText="1"/>
    </xf>
    <xf numFmtId="165" fontId="0" fillId="0" borderId="0" xfId="45" applyFont="1" applyBorder="1" applyAlignment="1">
      <alignment vertical="center"/>
    </xf>
    <xf numFmtId="172" fontId="0" fillId="0" borderId="25" xfId="0" applyNumberFormat="1" applyBorder="1" applyAlignment="1">
      <alignment vertical="center" wrapText="1"/>
    </xf>
    <xf numFmtId="172" fontId="0" fillId="0" borderId="26" xfId="0" applyNumberFormat="1" applyBorder="1" applyAlignment="1">
      <alignment vertical="center"/>
    </xf>
    <xf numFmtId="172" fontId="0" fillId="0" borderId="27" xfId="0" applyNumberFormat="1" applyBorder="1" applyAlignment="1">
      <alignment vertical="center"/>
    </xf>
    <xf numFmtId="181" fontId="0" fillId="0" borderId="27" xfId="0" applyNumberFormat="1" applyBorder="1" applyAlignment="1">
      <alignment vertical="center"/>
    </xf>
    <xf numFmtId="172" fontId="0" fillId="0" borderId="27" xfId="0" applyNumberFormat="1" applyBorder="1" applyAlignment="1">
      <alignment vertical="center" wrapText="1"/>
    </xf>
    <xf numFmtId="181" fontId="0" fillId="0" borderId="27" xfId="0" applyNumberFormat="1" applyBorder="1" applyAlignment="1">
      <alignment vertical="center" wrapText="1"/>
    </xf>
    <xf numFmtId="172" fontId="0" fillId="0" borderId="27" xfId="0" applyNumberFormat="1" applyFont="1" applyBorder="1" applyAlignment="1">
      <alignment vertical="center" wrapText="1"/>
    </xf>
    <xf numFmtId="172" fontId="0" fillId="0" borderId="28" xfId="0" applyNumberFormat="1" applyBorder="1" applyAlignment="1">
      <alignment vertical="center" wrapText="1"/>
    </xf>
    <xf numFmtId="181" fontId="0" fillId="0" borderId="19" xfId="0" applyNumberFormat="1" applyBorder="1" applyAlignment="1">
      <alignment vertical="center"/>
    </xf>
    <xf numFmtId="2" fontId="0" fillId="0" borderId="11" xfId="0" applyNumberFormat="1" applyFill="1" applyBorder="1" applyAlignment="1">
      <alignment horizontal="right" vertical="center"/>
    </xf>
    <xf numFmtId="172" fontId="0" fillId="0" borderId="11" xfId="0" applyNumberFormat="1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6" xfId="0" applyBorder="1" applyAlignment="1">
      <alignment vertical="center"/>
    </xf>
    <xf numFmtId="0" fontId="0" fillId="33" borderId="14" xfId="0" applyFont="1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horizontal="right" vertical="center"/>
    </xf>
    <xf numFmtId="172" fontId="0" fillId="33" borderId="15" xfId="0" applyNumberFormat="1" applyFill="1" applyBorder="1" applyAlignment="1">
      <alignment vertical="center"/>
    </xf>
    <xf numFmtId="0" fontId="0" fillId="0" borderId="21" xfId="0" applyFont="1" applyBorder="1" applyAlignment="1">
      <alignment horizontal="center" vertical="center"/>
    </xf>
    <xf numFmtId="172" fontId="0" fillId="0" borderId="11" xfId="0" applyNumberFormat="1" applyBorder="1" applyAlignment="1">
      <alignment horizontal="right" vertical="center"/>
    </xf>
    <xf numFmtId="2" fontId="0" fillId="33" borderId="17" xfId="0" applyNumberFormat="1" applyFill="1" applyBorder="1" applyAlignment="1">
      <alignment vertical="center"/>
    </xf>
    <xf numFmtId="0" fontId="3" fillId="0" borderId="11" xfId="0" applyFont="1" applyBorder="1" applyAlignment="1">
      <alignment/>
    </xf>
    <xf numFmtId="0" fontId="3" fillId="34" borderId="14" xfId="0" applyFont="1" applyFill="1" applyBorder="1" applyAlignment="1">
      <alignment vertical="center"/>
    </xf>
    <xf numFmtId="0" fontId="3" fillId="34" borderId="11" xfId="0" applyFont="1" applyFill="1" applyBorder="1" applyAlignment="1">
      <alignment vertical="center"/>
    </xf>
    <xf numFmtId="0" fontId="3" fillId="34" borderId="27" xfId="0" applyFont="1" applyFill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0" fontId="3" fillId="35" borderId="11" xfId="0" applyFont="1" applyFill="1" applyBorder="1" applyAlignment="1">
      <alignment vertical="center"/>
    </xf>
    <xf numFmtId="0" fontId="3" fillId="35" borderId="15" xfId="0" applyFont="1" applyFill="1" applyBorder="1" applyAlignment="1">
      <alignment vertical="center"/>
    </xf>
    <xf numFmtId="0" fontId="3" fillId="36" borderId="14" xfId="0" applyFont="1" applyFill="1" applyBorder="1" applyAlignment="1">
      <alignment vertical="center"/>
    </xf>
    <xf numFmtId="0" fontId="3" fillId="36" borderId="11" xfId="0" applyFont="1" applyFill="1" applyBorder="1" applyAlignment="1">
      <alignment vertical="center"/>
    </xf>
    <xf numFmtId="0" fontId="3" fillId="36" borderId="15" xfId="0" applyFont="1" applyFill="1" applyBorder="1" applyAlignment="1">
      <alignment vertical="center"/>
    </xf>
    <xf numFmtId="0" fontId="3" fillId="37" borderId="14" xfId="0" applyFont="1" applyFill="1" applyBorder="1" applyAlignment="1">
      <alignment vertical="center"/>
    </xf>
    <xf numFmtId="0" fontId="3" fillId="37" borderId="11" xfId="0" applyFont="1" applyFill="1" applyBorder="1" applyAlignment="1">
      <alignment vertical="center"/>
    </xf>
    <xf numFmtId="0" fontId="3" fillId="37" borderId="15" xfId="0" applyFont="1" applyFill="1" applyBorder="1" applyAlignment="1">
      <alignment vertical="center"/>
    </xf>
    <xf numFmtId="0" fontId="3" fillId="38" borderId="14" xfId="0" applyFont="1" applyFill="1" applyBorder="1" applyAlignment="1">
      <alignment vertical="center"/>
    </xf>
    <xf numFmtId="0" fontId="3" fillId="38" borderId="11" xfId="0" applyFont="1" applyFill="1" applyBorder="1" applyAlignment="1">
      <alignment vertical="center"/>
    </xf>
    <xf numFmtId="0" fontId="3" fillId="38" borderId="15" xfId="0" applyFont="1" applyFill="1" applyBorder="1" applyAlignment="1">
      <alignment vertical="center"/>
    </xf>
    <xf numFmtId="172" fontId="0" fillId="0" borderId="0" xfId="0" applyNumberFormat="1" applyAlignment="1">
      <alignment/>
    </xf>
    <xf numFmtId="172" fontId="0" fillId="33" borderId="19" xfId="0" applyNumberFormat="1" applyFill="1" applyBorder="1" applyAlignment="1">
      <alignment vertical="center"/>
    </xf>
    <xf numFmtId="165" fontId="0" fillId="39" borderId="11" xfId="45" applyFont="1" applyFill="1" applyBorder="1" applyAlignment="1">
      <alignment vertical="center" wrapText="1"/>
    </xf>
    <xf numFmtId="0" fontId="3" fillId="40" borderId="14" xfId="0" applyFont="1" applyFill="1" applyBorder="1" applyAlignment="1">
      <alignment vertical="center"/>
    </xf>
    <xf numFmtId="0" fontId="3" fillId="40" borderId="11" xfId="0" applyFont="1" applyFill="1" applyBorder="1" applyAlignment="1">
      <alignment vertical="center"/>
    </xf>
    <xf numFmtId="0" fontId="3" fillId="40" borderId="15" xfId="0" applyFont="1" applyFill="1" applyBorder="1" applyAlignment="1">
      <alignment vertical="center"/>
    </xf>
    <xf numFmtId="165" fontId="3" fillId="0" borderId="17" xfId="0" applyNumberFormat="1" applyFont="1" applyBorder="1" applyAlignment="1">
      <alignment/>
    </xf>
    <xf numFmtId="165" fontId="0" fillId="0" borderId="11" xfId="0" applyNumberFormat="1" applyBorder="1" applyAlignment="1">
      <alignment/>
    </xf>
    <xf numFmtId="0" fontId="4" fillId="33" borderId="11" xfId="0" applyFont="1" applyFill="1" applyBorder="1" applyAlignment="1">
      <alignment horizontal="center" vertical="center" wrapText="1"/>
    </xf>
    <xf numFmtId="165" fontId="0" fillId="0" borderId="11" xfId="45" applyFont="1" applyBorder="1" applyAlignment="1">
      <alignment vertical="center"/>
    </xf>
    <xf numFmtId="165" fontId="0" fillId="0" borderId="11" xfId="45" applyFont="1" applyBorder="1" applyAlignment="1">
      <alignment vertical="center" wrapText="1"/>
    </xf>
    <xf numFmtId="165" fontId="0" fillId="33" borderId="11" xfId="45" applyFont="1" applyFill="1" applyBorder="1" applyAlignment="1">
      <alignment vertical="center" wrapText="1"/>
    </xf>
    <xf numFmtId="165" fontId="0" fillId="39" borderId="11" xfId="45" applyFont="1" applyFill="1" applyBorder="1" applyAlignment="1">
      <alignment vertical="center" wrapText="1"/>
    </xf>
    <xf numFmtId="165" fontId="0" fillId="0" borderId="0" xfId="45" applyFont="1" applyBorder="1" applyAlignment="1">
      <alignment vertical="center"/>
    </xf>
    <xf numFmtId="0" fontId="5" fillId="0" borderId="29" xfId="0" applyFont="1" applyBorder="1" applyAlignment="1">
      <alignment vertical="center" wrapText="1"/>
    </xf>
    <xf numFmtId="0" fontId="0" fillId="0" borderId="17" xfId="0" applyBorder="1" applyAlignment="1">
      <alignment vertical="center"/>
    </xf>
    <xf numFmtId="0" fontId="0" fillId="0" borderId="19" xfId="0" applyBorder="1" applyAlignment="1">
      <alignment vertical="center"/>
    </xf>
    <xf numFmtId="0" fontId="5" fillId="0" borderId="30" xfId="0" applyFont="1" applyBorder="1" applyAlignment="1">
      <alignment vertical="center" wrapText="1"/>
    </xf>
    <xf numFmtId="0" fontId="0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vertical="center"/>
    </xf>
    <xf numFmtId="172" fontId="0" fillId="0" borderId="33" xfId="0" applyNumberFormat="1" applyBorder="1" applyAlignment="1">
      <alignment vertical="center" wrapText="1"/>
    </xf>
    <xf numFmtId="172" fontId="0" fillId="0" borderId="15" xfId="0" applyNumberFormat="1" applyBorder="1" applyAlignment="1">
      <alignment vertical="center" wrapText="1"/>
    </xf>
    <xf numFmtId="172" fontId="0" fillId="0" borderId="34" xfId="0" applyNumberFormat="1" applyBorder="1" applyAlignment="1">
      <alignment vertical="center"/>
    </xf>
    <xf numFmtId="0" fontId="0" fillId="0" borderId="34" xfId="0" applyBorder="1" applyAlignment="1">
      <alignment vertical="center"/>
    </xf>
    <xf numFmtId="0" fontId="0" fillId="0" borderId="3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 wrapText="1"/>
    </xf>
    <xf numFmtId="0" fontId="0" fillId="33" borderId="11" xfId="0" applyFill="1" applyBorder="1" applyAlignment="1">
      <alignment vertical="center"/>
    </xf>
    <xf numFmtId="172" fontId="0" fillId="33" borderId="15" xfId="0" applyNumberFormat="1" applyFill="1" applyBorder="1" applyAlignment="1">
      <alignment vertical="center" wrapText="1"/>
    </xf>
    <xf numFmtId="183" fontId="0" fillId="0" borderId="15" xfId="0" applyNumberFormat="1" applyBorder="1" applyAlignment="1">
      <alignment vertical="center" wrapText="1"/>
    </xf>
    <xf numFmtId="183" fontId="0" fillId="33" borderId="15" xfId="0" applyNumberFormat="1" applyFill="1" applyBorder="1" applyAlignment="1">
      <alignment vertical="center" wrapText="1"/>
    </xf>
    <xf numFmtId="0" fontId="5" fillId="0" borderId="11" xfId="0" applyFont="1" applyBorder="1" applyAlignment="1">
      <alignment vertical="center" wrapText="1"/>
    </xf>
    <xf numFmtId="0" fontId="5" fillId="0" borderId="11" xfId="0" applyFont="1" applyBorder="1" applyAlignment="1">
      <alignment horizontal="justify" vertical="center" wrapText="1"/>
    </xf>
    <xf numFmtId="0" fontId="0" fillId="0" borderId="11" xfId="0" applyFont="1" applyBorder="1" applyAlignment="1">
      <alignment horizontal="center" vertical="center" wrapText="1"/>
    </xf>
    <xf numFmtId="172" fontId="0" fillId="0" borderId="11" xfId="0" applyNumberFormat="1" applyFill="1" applyBorder="1" applyAlignment="1">
      <alignment vertical="center"/>
    </xf>
    <xf numFmtId="0" fontId="0" fillId="0" borderId="11" xfId="0" applyFont="1" applyFill="1" applyBorder="1" applyAlignment="1">
      <alignment horizontal="center" vertical="center" wrapText="1"/>
    </xf>
    <xf numFmtId="184" fontId="0" fillId="0" borderId="11" xfId="0" applyNumberFormat="1" applyBorder="1" applyAlignment="1">
      <alignment vertical="center"/>
    </xf>
    <xf numFmtId="181" fontId="0" fillId="0" borderId="11" xfId="0" applyNumberForma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172" fontId="0" fillId="0" borderId="11" xfId="0" applyNumberFormat="1" applyBorder="1" applyAlignment="1">
      <alignment vertical="center" wrapText="1"/>
    </xf>
    <xf numFmtId="172" fontId="0" fillId="0" borderId="11" xfId="0" applyNumberFormat="1" applyFont="1" applyBorder="1" applyAlignment="1">
      <alignment vertical="center" wrapText="1"/>
    </xf>
    <xf numFmtId="181" fontId="0" fillId="0" borderId="11" xfId="0" applyNumberFormat="1" applyBorder="1" applyAlignment="1">
      <alignment vertical="center" wrapText="1"/>
    </xf>
    <xf numFmtId="0" fontId="0" fillId="0" borderId="11" xfId="0" applyFill="1" applyBorder="1" applyAlignment="1">
      <alignment vertical="center"/>
    </xf>
    <xf numFmtId="172" fontId="0" fillId="0" borderId="11" xfId="0" applyNumberFormat="1" applyFill="1" applyBorder="1" applyAlignment="1">
      <alignment vertical="center" wrapText="1"/>
    </xf>
    <xf numFmtId="2" fontId="0" fillId="0" borderId="11" xfId="0" applyNumberFormat="1" applyFont="1" applyBorder="1" applyAlignment="1">
      <alignment horizontal="center" vertical="center"/>
    </xf>
    <xf numFmtId="181" fontId="0" fillId="0" borderId="11" xfId="0" applyNumberFormat="1" applyFont="1" applyBorder="1" applyAlignment="1">
      <alignment horizontal="center" vertical="center"/>
    </xf>
    <xf numFmtId="0" fontId="0" fillId="39" borderId="11" xfId="0" applyFont="1" applyFill="1" applyBorder="1" applyAlignment="1">
      <alignment horizontal="center" vertical="center"/>
    </xf>
    <xf numFmtId="2" fontId="0" fillId="39" borderId="11" xfId="0" applyNumberFormat="1" applyFill="1" applyBorder="1" applyAlignment="1">
      <alignment vertical="center"/>
    </xf>
    <xf numFmtId="172" fontId="0" fillId="39" borderId="11" xfId="0" applyNumberFormat="1" applyFill="1" applyBorder="1" applyAlignment="1">
      <alignment vertical="center"/>
    </xf>
    <xf numFmtId="0" fontId="0" fillId="41" borderId="11" xfId="0" applyFill="1" applyBorder="1" applyAlignment="1">
      <alignment horizontal="center" vertical="center" wrapText="1"/>
    </xf>
    <xf numFmtId="2" fontId="0" fillId="0" borderId="11" xfId="0" applyNumberFormat="1" applyFont="1" applyBorder="1" applyAlignment="1">
      <alignment horizontal="right" vertical="center"/>
    </xf>
    <xf numFmtId="0" fontId="0" fillId="33" borderId="11" xfId="0" applyFont="1" applyFill="1" applyBorder="1" applyAlignment="1">
      <alignment horizontal="center" vertical="center" wrapText="1"/>
    </xf>
    <xf numFmtId="2" fontId="0" fillId="0" borderId="11" xfId="0" applyNumberFormat="1" applyBorder="1" applyAlignment="1">
      <alignment horizontal="center" vertical="center"/>
    </xf>
    <xf numFmtId="0" fontId="0" fillId="0" borderId="11" xfId="0" applyFill="1" applyBorder="1" applyAlignment="1">
      <alignment horizontal="center" vertical="center" wrapText="1"/>
    </xf>
    <xf numFmtId="2" fontId="0" fillId="33" borderId="11" xfId="0" applyNumberFormat="1" applyFill="1" applyBorder="1" applyAlignment="1">
      <alignment vertical="center"/>
    </xf>
    <xf numFmtId="0" fontId="0" fillId="39" borderId="11" xfId="0" applyFont="1" applyFill="1" applyBorder="1" applyAlignment="1">
      <alignment horizontal="center" vertical="center" wrapText="1"/>
    </xf>
    <xf numFmtId="182" fontId="0" fillId="0" borderId="11" xfId="0" applyNumberFormat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165" fontId="3" fillId="0" borderId="11" xfId="0" applyNumberFormat="1" applyFont="1" applyBorder="1" applyAlignment="1">
      <alignment vertical="center"/>
    </xf>
    <xf numFmtId="0" fontId="0" fillId="0" borderId="0" xfId="0" applyFont="1" applyAlignment="1">
      <alignment vertical="center"/>
    </xf>
    <xf numFmtId="165" fontId="0" fillId="0" borderId="11" xfId="45" applyFont="1" applyBorder="1" applyAlignment="1">
      <alignment vertical="center"/>
    </xf>
    <xf numFmtId="165" fontId="0" fillId="0" borderId="11" xfId="45" applyFont="1" applyBorder="1" applyAlignment="1">
      <alignment vertical="center" wrapText="1"/>
    </xf>
    <xf numFmtId="0" fontId="0" fillId="0" borderId="11" xfId="0" applyFont="1" applyBorder="1" applyAlignment="1">
      <alignment vertical="center"/>
    </xf>
    <xf numFmtId="165" fontId="0" fillId="39" borderId="11" xfId="45" applyFont="1" applyFill="1" applyBorder="1" applyAlignment="1">
      <alignment vertical="center" wrapText="1"/>
    </xf>
    <xf numFmtId="0" fontId="0" fillId="0" borderId="0" xfId="0" applyFont="1" applyAlignment="1">
      <alignment/>
    </xf>
    <xf numFmtId="0" fontId="11" fillId="0" borderId="35" xfId="0" applyFont="1" applyBorder="1" applyAlignment="1">
      <alignment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/>
    </xf>
    <xf numFmtId="0" fontId="3" fillId="35" borderId="27" xfId="0" applyFont="1" applyFill="1" applyBorder="1" applyAlignment="1">
      <alignment vertical="center" wrapText="1"/>
    </xf>
    <xf numFmtId="0" fontId="3" fillId="35" borderId="11" xfId="0" applyFont="1" applyFill="1" applyBorder="1" applyAlignment="1">
      <alignment horizontal="center" vertical="center" wrapText="1"/>
    </xf>
    <xf numFmtId="0" fontId="12" fillId="0" borderId="11" xfId="0" applyFont="1" applyBorder="1" applyAlignment="1">
      <alignment vertical="center"/>
    </xf>
    <xf numFmtId="0" fontId="3" fillId="0" borderId="0" xfId="0" applyFont="1" applyAlignment="1">
      <alignment vertical="center"/>
    </xf>
    <xf numFmtId="0" fontId="11" fillId="0" borderId="11" xfId="0" applyFont="1" applyBorder="1" applyAlignment="1">
      <alignment vertical="center" wrapText="1"/>
    </xf>
    <xf numFmtId="192" fontId="12" fillId="0" borderId="11" xfId="0" applyNumberFormat="1" applyFont="1" applyBorder="1" applyAlignment="1">
      <alignment vertical="center"/>
    </xf>
    <xf numFmtId="0" fontId="12" fillId="0" borderId="11" xfId="0" applyNumberFormat="1" applyFont="1" applyBorder="1" applyAlignment="1">
      <alignment vertical="center"/>
    </xf>
    <xf numFmtId="168" fontId="12" fillId="0" borderId="11" xfId="0" applyNumberFormat="1" applyFont="1" applyBorder="1" applyAlignment="1">
      <alignment vertical="center"/>
    </xf>
    <xf numFmtId="0" fontId="0" fillId="39" borderId="11" xfId="0" applyFont="1" applyFill="1" applyBorder="1" applyAlignment="1">
      <alignment horizontal="center" vertical="center"/>
    </xf>
    <xf numFmtId="4" fontId="0" fillId="0" borderId="0" xfId="0" applyNumberFormat="1" applyAlignment="1">
      <alignment/>
    </xf>
    <xf numFmtId="2" fontId="0" fillId="0" borderId="0" xfId="0" applyNumberFormat="1" applyAlignment="1">
      <alignment/>
    </xf>
    <xf numFmtId="0" fontId="13" fillId="0" borderId="26" xfId="0" applyFont="1" applyBorder="1" applyAlignment="1">
      <alignment vertical="center" wrapText="1"/>
    </xf>
    <xf numFmtId="0" fontId="15" fillId="0" borderId="11" xfId="0" applyFont="1" applyBorder="1" applyAlignment="1">
      <alignment vertical="center" wrapText="1"/>
    </xf>
    <xf numFmtId="0" fontId="15" fillId="0" borderId="11" xfId="0" applyFont="1" applyBorder="1" applyAlignment="1">
      <alignment horizontal="justify" vertical="center" wrapText="1"/>
    </xf>
    <xf numFmtId="0" fontId="13" fillId="0" borderId="27" xfId="0" applyFont="1" applyBorder="1" applyAlignment="1">
      <alignment vertical="center" wrapText="1"/>
    </xf>
    <xf numFmtId="0" fontId="14" fillId="0" borderId="27" xfId="0" applyFont="1" applyBorder="1" applyAlignment="1">
      <alignment vertical="center" wrapText="1"/>
    </xf>
    <xf numFmtId="195" fontId="0" fillId="0" borderId="11" xfId="45" applyNumberFormat="1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15" fillId="0" borderId="27" xfId="0" applyFont="1" applyBorder="1" applyAlignment="1">
      <alignment vertical="center" wrapText="1"/>
    </xf>
    <xf numFmtId="0" fontId="10" fillId="0" borderId="11" xfId="0" applyFont="1" applyBorder="1" applyAlignment="1">
      <alignment vertical="center" wrapText="1"/>
    </xf>
    <xf numFmtId="168" fontId="0" fillId="0" borderId="11" xfId="0" applyNumberFormat="1" applyBorder="1" applyAlignment="1">
      <alignment vertical="center"/>
    </xf>
    <xf numFmtId="168" fontId="12" fillId="0" borderId="11" xfId="0" applyNumberFormat="1" applyFont="1" applyFill="1" applyBorder="1" applyAlignment="1">
      <alignment vertical="center"/>
    </xf>
    <xf numFmtId="2" fontId="10" fillId="0" borderId="11" xfId="0" applyNumberFormat="1" applyFont="1" applyBorder="1" applyAlignment="1">
      <alignment vertical="center" wrapText="1"/>
    </xf>
    <xf numFmtId="2" fontId="11" fillId="0" borderId="11" xfId="0" applyNumberFormat="1" applyFont="1" applyBorder="1" applyAlignment="1">
      <alignment vertical="center" wrapText="1"/>
    </xf>
    <xf numFmtId="168" fontId="11" fillId="0" borderId="11" xfId="0" applyNumberFormat="1" applyFont="1" applyBorder="1" applyAlignment="1">
      <alignment vertical="center" wrapText="1"/>
    </xf>
    <xf numFmtId="0" fontId="13" fillId="0" borderId="11" xfId="0" applyFont="1" applyBorder="1" applyAlignment="1">
      <alignment vertical="center" wrapText="1"/>
    </xf>
    <xf numFmtId="0" fontId="14" fillId="0" borderId="11" xfId="0" applyFont="1" applyBorder="1" applyAlignment="1">
      <alignment vertical="center" wrapText="1"/>
    </xf>
    <xf numFmtId="0" fontId="15" fillId="0" borderId="27" xfId="0" applyFont="1" applyBorder="1" applyAlignment="1">
      <alignment horizontal="justify" vertical="center" wrapText="1"/>
    </xf>
    <xf numFmtId="2" fontId="0" fillId="0" borderId="11" xfId="0" applyNumberFormat="1" applyBorder="1" applyAlignment="1">
      <alignment/>
    </xf>
    <xf numFmtId="0" fontId="3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vertical="center"/>
    </xf>
    <xf numFmtId="0" fontId="17" fillId="8" borderId="11" xfId="0" applyFont="1" applyFill="1" applyBorder="1" applyAlignment="1">
      <alignment horizontal="left" vertical="center"/>
    </xf>
    <xf numFmtId="2" fontId="16" fillId="0" borderId="11" xfId="0" applyNumberFormat="1" applyFont="1" applyBorder="1" applyAlignment="1">
      <alignment vertical="center"/>
    </xf>
    <xf numFmtId="0" fontId="18" fillId="8" borderId="11" xfId="0" applyFont="1" applyFill="1" applyBorder="1" applyAlignment="1">
      <alignment vertical="center"/>
    </xf>
    <xf numFmtId="0" fontId="20" fillId="0" borderId="11" xfId="0" applyFont="1" applyBorder="1" applyAlignment="1">
      <alignment vertical="center" wrapText="1"/>
    </xf>
    <xf numFmtId="168" fontId="19" fillId="0" borderId="11" xfId="0" applyNumberFormat="1" applyFont="1" applyBorder="1" applyAlignment="1">
      <alignment vertical="center" wrapText="1"/>
    </xf>
    <xf numFmtId="165" fontId="0" fillId="42" borderId="11" xfId="45" applyFont="1" applyFill="1" applyBorder="1" applyAlignment="1">
      <alignment vertical="center"/>
    </xf>
    <xf numFmtId="195" fontId="0" fillId="42" borderId="11" xfId="45" applyNumberFormat="1" applyFont="1" applyFill="1" applyBorder="1" applyAlignment="1">
      <alignment vertical="center"/>
    </xf>
    <xf numFmtId="165" fontId="0" fillId="0" borderId="11" xfId="45" applyFont="1" applyFill="1" applyBorder="1" applyAlignment="1">
      <alignment vertical="center"/>
    </xf>
    <xf numFmtId="0" fontId="3" fillId="35" borderId="15" xfId="0" applyFont="1" applyFill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168" fontId="5" fillId="0" borderId="11" xfId="0" applyNumberFormat="1" applyFont="1" applyBorder="1" applyAlignment="1">
      <alignment vertical="center" wrapText="1"/>
    </xf>
    <xf numFmtId="0" fontId="56" fillId="0" borderId="11" xfId="0" applyFont="1" applyBorder="1" applyAlignment="1">
      <alignment vertical="center" wrapText="1"/>
    </xf>
    <xf numFmtId="196" fontId="12" fillId="0" borderId="11" xfId="0" applyNumberFormat="1" applyFont="1" applyBorder="1" applyAlignment="1">
      <alignment vertical="center"/>
    </xf>
    <xf numFmtId="197" fontId="12" fillId="0" borderId="11" xfId="0" applyNumberFormat="1" applyFont="1" applyBorder="1" applyAlignment="1">
      <alignment vertical="center"/>
    </xf>
    <xf numFmtId="0" fontId="0" fillId="0" borderId="11" xfId="0" applyBorder="1" applyAlignment="1">
      <alignment wrapText="1"/>
    </xf>
    <xf numFmtId="0" fontId="3" fillId="35" borderId="14" xfId="0" applyFont="1" applyFill="1" applyBorder="1" applyAlignment="1">
      <alignment vertical="center" wrapText="1"/>
    </xf>
    <xf numFmtId="0" fontId="57" fillId="42" borderId="11" xfId="0" applyFont="1" applyFill="1" applyBorder="1" applyAlignment="1">
      <alignment vertical="center" wrapText="1"/>
    </xf>
    <xf numFmtId="165" fontId="0" fillId="0" borderId="11" xfId="45" applyFont="1" applyBorder="1" applyAlignment="1">
      <alignment/>
    </xf>
    <xf numFmtId="165" fontId="3" fillId="0" borderId="11" xfId="45" applyFont="1" applyBorder="1" applyAlignment="1">
      <alignment/>
    </xf>
    <xf numFmtId="165" fontId="12" fillId="0" borderId="11" xfId="45" applyFont="1" applyBorder="1" applyAlignment="1">
      <alignment vertical="center"/>
    </xf>
    <xf numFmtId="0" fontId="3" fillId="35" borderId="36" xfId="0" applyFont="1" applyFill="1" applyBorder="1" applyAlignment="1">
      <alignment horizontal="center" vertical="center"/>
    </xf>
    <xf numFmtId="0" fontId="3" fillId="35" borderId="37" xfId="0" applyFont="1" applyFill="1" applyBorder="1" applyAlignment="1">
      <alignment horizontal="center" vertical="center"/>
    </xf>
    <xf numFmtId="0" fontId="3" fillId="35" borderId="38" xfId="0" applyFont="1" applyFill="1" applyBorder="1" applyAlignment="1">
      <alignment horizontal="center" vertical="center"/>
    </xf>
    <xf numFmtId="0" fontId="0" fillId="0" borderId="0" xfId="0" applyAlignment="1">
      <alignment/>
    </xf>
    <xf numFmtId="0" fontId="3" fillId="8" borderId="0" xfId="0" applyFont="1" applyFill="1" applyAlignment="1">
      <alignment/>
    </xf>
    <xf numFmtId="0" fontId="0" fillId="0" borderId="0" xfId="0" applyFont="1" applyAlignment="1">
      <alignment/>
    </xf>
    <xf numFmtId="0" fontId="2" fillId="40" borderId="39" xfId="0" applyFont="1" applyFill="1" applyBorder="1" applyAlignment="1">
      <alignment horizontal="center" vertical="center" wrapText="1"/>
    </xf>
    <xf numFmtId="0" fontId="2" fillId="40" borderId="40" xfId="0" applyFont="1" applyFill="1" applyBorder="1" applyAlignment="1">
      <alignment horizontal="center" vertical="center" wrapText="1"/>
    </xf>
    <xf numFmtId="0" fontId="3" fillId="35" borderId="41" xfId="0" applyFont="1" applyFill="1" applyBorder="1" applyAlignment="1">
      <alignment horizontal="center" vertical="center"/>
    </xf>
    <xf numFmtId="0" fontId="3" fillId="35" borderId="42" xfId="0" applyFont="1" applyFill="1" applyBorder="1" applyAlignment="1">
      <alignment horizontal="center" vertical="center"/>
    </xf>
    <xf numFmtId="0" fontId="3" fillId="35" borderId="43" xfId="0" applyFont="1" applyFill="1" applyBorder="1" applyAlignment="1">
      <alignment horizontal="center" vertical="center"/>
    </xf>
    <xf numFmtId="0" fontId="9" fillId="0" borderId="44" xfId="0" applyFont="1" applyBorder="1" applyAlignment="1">
      <alignment horizontal="center"/>
    </xf>
    <xf numFmtId="0" fontId="9" fillId="0" borderId="45" xfId="0" applyFont="1" applyBorder="1" applyAlignment="1">
      <alignment horizontal="center"/>
    </xf>
    <xf numFmtId="0" fontId="9" fillId="0" borderId="46" xfId="0" applyFont="1" applyBorder="1" applyAlignment="1">
      <alignment horizontal="center"/>
    </xf>
    <xf numFmtId="0" fontId="3" fillId="34" borderId="1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5" borderId="17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/>
    </xf>
    <xf numFmtId="0" fontId="3" fillId="38" borderId="11" xfId="0" applyFont="1" applyFill="1" applyBorder="1" applyAlignment="1">
      <alignment horizontal="center" vertical="center" wrapText="1"/>
    </xf>
    <xf numFmtId="0" fontId="2" fillId="40" borderId="47" xfId="0" applyFont="1" applyFill="1" applyBorder="1" applyAlignment="1">
      <alignment horizontal="center" vertical="center" wrapText="1"/>
    </xf>
    <xf numFmtId="0" fontId="2" fillId="40" borderId="29" xfId="0" applyFont="1" applyFill="1" applyBorder="1" applyAlignment="1">
      <alignment horizontal="center" vertical="center" wrapText="1"/>
    </xf>
    <xf numFmtId="0" fontId="3" fillId="34" borderId="48" xfId="0" applyFont="1" applyFill="1" applyBorder="1" applyAlignment="1">
      <alignment horizontal="center" vertical="center"/>
    </xf>
    <xf numFmtId="0" fontId="3" fillId="34" borderId="49" xfId="0" applyFont="1" applyFill="1" applyBorder="1" applyAlignment="1">
      <alignment horizontal="center" vertical="center"/>
    </xf>
    <xf numFmtId="0" fontId="3" fillId="34" borderId="50" xfId="0" applyFont="1" applyFill="1" applyBorder="1" applyAlignment="1">
      <alignment horizontal="center" vertical="center"/>
    </xf>
    <xf numFmtId="0" fontId="3" fillId="38" borderId="48" xfId="0" applyFont="1" applyFill="1" applyBorder="1" applyAlignment="1">
      <alignment horizontal="center" vertical="center"/>
    </xf>
    <xf numFmtId="0" fontId="3" fillId="38" borderId="49" xfId="0" applyFont="1" applyFill="1" applyBorder="1" applyAlignment="1">
      <alignment horizontal="center" vertical="center"/>
    </xf>
    <xf numFmtId="0" fontId="3" fillId="38" borderId="51" xfId="0" applyFont="1" applyFill="1" applyBorder="1" applyAlignment="1">
      <alignment horizontal="center" vertical="center"/>
    </xf>
    <xf numFmtId="0" fontId="3" fillId="36" borderId="11" xfId="0" applyFont="1" applyFill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/>
    </xf>
    <xf numFmtId="0" fontId="3" fillId="35" borderId="49" xfId="0" applyFont="1" applyFill="1" applyBorder="1" applyAlignment="1">
      <alignment horizontal="center" vertical="center"/>
    </xf>
    <xf numFmtId="0" fontId="3" fillId="35" borderId="51" xfId="0" applyFont="1" applyFill="1" applyBorder="1" applyAlignment="1">
      <alignment horizontal="center" vertical="center"/>
    </xf>
    <xf numFmtId="0" fontId="3" fillId="36" borderId="48" xfId="0" applyFont="1" applyFill="1" applyBorder="1" applyAlignment="1">
      <alignment horizontal="center" vertical="center"/>
    </xf>
    <xf numFmtId="0" fontId="3" fillId="36" borderId="49" xfId="0" applyFont="1" applyFill="1" applyBorder="1" applyAlignment="1">
      <alignment horizontal="center" vertical="center"/>
    </xf>
    <xf numFmtId="0" fontId="3" fillId="36" borderId="51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center" wrapText="1"/>
    </xf>
    <xf numFmtId="0" fontId="3" fillId="40" borderId="11" xfId="0" applyFont="1" applyFill="1" applyBorder="1" applyAlignment="1">
      <alignment horizontal="center" vertical="center" wrapText="1"/>
    </xf>
    <xf numFmtId="0" fontId="3" fillId="37" borderId="48" xfId="0" applyFont="1" applyFill="1" applyBorder="1" applyAlignment="1">
      <alignment horizontal="center" vertical="center"/>
    </xf>
    <xf numFmtId="0" fontId="3" fillId="37" borderId="49" xfId="0" applyFont="1" applyFill="1" applyBorder="1" applyAlignment="1">
      <alignment horizontal="center" vertical="center"/>
    </xf>
    <xf numFmtId="0" fontId="3" fillId="37" borderId="51" xfId="0" applyFont="1" applyFill="1" applyBorder="1" applyAlignment="1">
      <alignment horizontal="center" vertical="center"/>
    </xf>
    <xf numFmtId="0" fontId="3" fillId="40" borderId="48" xfId="0" applyFont="1" applyFill="1" applyBorder="1" applyAlignment="1">
      <alignment horizontal="center" vertical="center"/>
    </xf>
    <xf numFmtId="0" fontId="3" fillId="40" borderId="49" xfId="0" applyFont="1" applyFill="1" applyBorder="1" applyAlignment="1">
      <alignment horizontal="center" vertical="center"/>
    </xf>
    <xf numFmtId="0" fontId="3" fillId="40" borderId="51" xfId="0" applyFont="1" applyFill="1" applyBorder="1" applyAlignment="1">
      <alignment horizontal="center" vertical="center"/>
    </xf>
    <xf numFmtId="0" fontId="2" fillId="40" borderId="52" xfId="0" applyFont="1" applyFill="1" applyBorder="1" applyAlignment="1">
      <alignment horizontal="center" vertical="center" wrapText="1"/>
    </xf>
    <xf numFmtId="43" fontId="3" fillId="0" borderId="11" xfId="0" applyNumberFormat="1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49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ta" xfId="48"/>
    <cellStyle name="Output" xfId="49"/>
    <cellStyle name="Percent" xfId="50"/>
    <cellStyle name="Testo avviso" xfId="51"/>
    <cellStyle name="Testo descrittivo" xfId="52"/>
    <cellStyle name="Titolo" xfId="53"/>
    <cellStyle name="Titolo 1" xfId="54"/>
    <cellStyle name="Titolo 2" xfId="55"/>
    <cellStyle name="Titolo 3" xfId="56"/>
    <cellStyle name="Titolo 4" xfId="57"/>
    <cellStyle name="Totale" xfId="58"/>
    <cellStyle name="Valore non valido" xfId="59"/>
    <cellStyle name="Valore valido" xfId="60"/>
    <cellStyle name="Currency" xfId="61"/>
    <cellStyle name="Currency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08"/>
  <sheetViews>
    <sheetView zoomScaleSheetLayoutView="75" zoomScalePageLayoutView="0" workbookViewId="0" topLeftCell="A1">
      <pane xSplit="1" ySplit="5" topLeftCell="B7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J103" sqref="J103"/>
    </sheetView>
  </sheetViews>
  <sheetFormatPr defaultColWidth="9.140625" defaultRowHeight="12.75"/>
  <cols>
    <col min="1" max="1" width="63.7109375" style="0" customWidth="1"/>
    <col min="2" max="2" width="16.140625" style="0" customWidth="1"/>
    <col min="3" max="3" width="11.8515625" style="0" customWidth="1"/>
    <col min="4" max="4" width="10.140625" style="0" customWidth="1"/>
    <col min="5" max="5" width="8.8515625" style="0" customWidth="1"/>
    <col min="6" max="6" width="2.421875" style="0" customWidth="1"/>
  </cols>
  <sheetData>
    <row r="1" spans="1:6" ht="12.75">
      <c r="A1" s="201"/>
      <c r="B1" s="201"/>
      <c r="C1" s="201"/>
      <c r="D1" s="201"/>
      <c r="E1" s="201"/>
      <c r="F1" s="201"/>
    </row>
    <row r="2" spans="1:6" ht="20.25" customHeight="1">
      <c r="A2" s="202" t="s">
        <v>414</v>
      </c>
      <c r="B2" s="202"/>
      <c r="C2" s="202"/>
      <c r="D2" s="202"/>
      <c r="E2" s="202"/>
      <c r="F2" s="202"/>
    </row>
    <row r="3" spans="1:6" ht="22.5" customHeight="1" thickBot="1">
      <c r="A3" s="203" t="s">
        <v>419</v>
      </c>
      <c r="B3" s="203"/>
      <c r="C3" s="201"/>
      <c r="D3" s="201"/>
      <c r="E3" s="201"/>
      <c r="F3" s="201"/>
    </row>
    <row r="4" spans="1:6" ht="15.75" customHeight="1">
      <c r="A4" s="204" t="s">
        <v>0</v>
      </c>
      <c r="B4" s="206" t="s">
        <v>421</v>
      </c>
      <c r="C4" s="207"/>
      <c r="D4" s="207"/>
      <c r="E4" s="208"/>
      <c r="F4" s="10"/>
    </row>
    <row r="5" spans="1:6" ht="28.5" customHeight="1">
      <c r="A5" s="205"/>
      <c r="B5" s="67" t="s">
        <v>564</v>
      </c>
      <c r="C5" s="148" t="s">
        <v>413</v>
      </c>
      <c r="D5" s="147" t="s">
        <v>412</v>
      </c>
      <c r="E5" s="69" t="s">
        <v>416</v>
      </c>
      <c r="F5" s="11"/>
    </row>
    <row r="6" spans="1:6" s="28" customFormat="1" ht="27" customHeight="1">
      <c r="A6" s="158" t="s">
        <v>400</v>
      </c>
      <c r="B6" s="143"/>
      <c r="C6" s="143"/>
      <c r="D6" s="143"/>
      <c r="E6" s="143"/>
      <c r="F6" s="9"/>
    </row>
    <row r="7" spans="1:6" s="28" customFormat="1" ht="45">
      <c r="A7" s="159" t="s">
        <v>178</v>
      </c>
      <c r="B7" s="144" t="s">
        <v>459</v>
      </c>
      <c r="C7" s="152"/>
      <c r="D7" s="88"/>
      <c r="E7" s="149">
        <f>ROUND(C7*D7,2)</f>
        <v>0</v>
      </c>
      <c r="F7" s="9"/>
    </row>
    <row r="8" spans="1:6" s="28" customFormat="1" ht="46.5" customHeight="1">
      <c r="A8" s="160" t="s">
        <v>422</v>
      </c>
      <c r="B8" s="144" t="s">
        <v>460</v>
      </c>
      <c r="C8" s="154">
        <v>7.2</v>
      </c>
      <c r="D8" s="88">
        <v>10</v>
      </c>
      <c r="E8" s="149">
        <f aca="true" t="shared" si="0" ref="E8:E71">ROUND(C8*D8,2)</f>
        <v>72</v>
      </c>
      <c r="F8" s="9"/>
    </row>
    <row r="9" spans="1:6" s="28" customFormat="1" ht="26.25" customHeight="1">
      <c r="A9" s="159" t="s">
        <v>521</v>
      </c>
      <c r="B9" s="144">
        <v>3000</v>
      </c>
      <c r="C9" s="154"/>
      <c r="D9" s="163"/>
      <c r="E9" s="149">
        <f t="shared" si="0"/>
        <v>0</v>
      </c>
      <c r="F9" s="9"/>
    </row>
    <row r="10" spans="1:6" s="28" customFormat="1" ht="15">
      <c r="A10" s="159" t="s">
        <v>423</v>
      </c>
      <c r="B10" s="104" t="s">
        <v>38</v>
      </c>
      <c r="C10" s="154"/>
      <c r="D10" s="163"/>
      <c r="E10" s="149">
        <f t="shared" si="0"/>
        <v>0</v>
      </c>
      <c r="F10" s="9"/>
    </row>
    <row r="11" spans="1:6" s="28" customFormat="1" ht="37.5" customHeight="1">
      <c r="A11" s="159" t="s">
        <v>183</v>
      </c>
      <c r="B11" s="104" t="s">
        <v>38</v>
      </c>
      <c r="C11" s="154"/>
      <c r="D11" s="88"/>
      <c r="E11" s="149">
        <f t="shared" si="0"/>
        <v>0</v>
      </c>
      <c r="F11" s="9"/>
    </row>
    <row r="12" spans="1:6" s="28" customFormat="1" ht="22.5" customHeight="1">
      <c r="A12" s="159" t="s">
        <v>184</v>
      </c>
      <c r="B12" s="104" t="s">
        <v>38</v>
      </c>
      <c r="C12" s="154"/>
      <c r="D12" s="88"/>
      <c r="E12" s="149">
        <f t="shared" si="0"/>
        <v>0</v>
      </c>
      <c r="F12" s="9"/>
    </row>
    <row r="13" spans="1:6" s="28" customFormat="1" ht="27" customHeight="1">
      <c r="A13" s="159" t="s">
        <v>424</v>
      </c>
      <c r="B13" s="104" t="s">
        <v>461</v>
      </c>
      <c r="C13" s="154"/>
      <c r="D13" s="88"/>
      <c r="E13" s="149">
        <f t="shared" si="0"/>
        <v>0</v>
      </c>
      <c r="F13" s="9"/>
    </row>
    <row r="14" spans="1:6" s="28" customFormat="1" ht="25.5">
      <c r="A14" s="159" t="s">
        <v>185</v>
      </c>
      <c r="B14" s="104" t="s">
        <v>462</v>
      </c>
      <c r="C14" s="154"/>
      <c r="D14" s="88"/>
      <c r="E14" s="149">
        <f t="shared" si="0"/>
        <v>0</v>
      </c>
      <c r="F14" s="9"/>
    </row>
    <row r="15" spans="1:6" s="28" customFormat="1" ht="28.5" customHeight="1">
      <c r="A15" s="159" t="s">
        <v>425</v>
      </c>
      <c r="B15" s="104" t="s">
        <v>463</v>
      </c>
      <c r="C15" s="154"/>
      <c r="D15" s="88"/>
      <c r="E15" s="149">
        <f t="shared" si="0"/>
        <v>0</v>
      </c>
      <c r="F15" s="9"/>
    </row>
    <row r="16" spans="1:6" s="28" customFormat="1" ht="30">
      <c r="A16" s="159" t="s">
        <v>536</v>
      </c>
      <c r="B16" s="187" t="s">
        <v>510</v>
      </c>
      <c r="C16" s="187"/>
      <c r="D16" s="88"/>
      <c r="E16" s="149">
        <f t="shared" si="0"/>
        <v>0</v>
      </c>
      <c r="F16" s="9"/>
    </row>
    <row r="17" spans="1:6" s="28" customFormat="1" ht="15">
      <c r="A17" s="159" t="s">
        <v>186</v>
      </c>
      <c r="B17" s="144" t="s">
        <v>38</v>
      </c>
      <c r="C17" s="154"/>
      <c r="D17" s="88"/>
      <c r="E17" s="149">
        <f t="shared" si="0"/>
        <v>0</v>
      </c>
      <c r="F17" s="9"/>
    </row>
    <row r="18" spans="1:6" s="28" customFormat="1" ht="15">
      <c r="A18" s="159" t="s">
        <v>187</v>
      </c>
      <c r="B18" s="144" t="s">
        <v>38</v>
      </c>
      <c r="C18" s="154"/>
      <c r="D18" s="88"/>
      <c r="E18" s="149">
        <f t="shared" si="0"/>
        <v>0</v>
      </c>
      <c r="F18" s="9"/>
    </row>
    <row r="19" spans="1:6" s="28" customFormat="1" ht="15">
      <c r="A19" s="161" t="s">
        <v>188</v>
      </c>
      <c r="B19" s="144"/>
      <c r="C19" s="154"/>
      <c r="D19" s="88"/>
      <c r="E19" s="149">
        <f t="shared" si="0"/>
        <v>0</v>
      </c>
      <c r="F19" s="9"/>
    </row>
    <row r="20" spans="1:6" s="28" customFormat="1" ht="45">
      <c r="A20" s="159" t="s">
        <v>253</v>
      </c>
      <c r="B20" s="144" t="s">
        <v>464</v>
      </c>
      <c r="C20" s="154"/>
      <c r="D20" s="88"/>
      <c r="E20" s="149">
        <f t="shared" si="0"/>
        <v>0</v>
      </c>
      <c r="F20" s="9"/>
    </row>
    <row r="21" spans="1:6" s="28" customFormat="1" ht="29.25" customHeight="1">
      <c r="A21" s="159" t="s">
        <v>254</v>
      </c>
      <c r="B21" s="144" t="s">
        <v>465</v>
      </c>
      <c r="C21" s="154"/>
      <c r="D21" s="88"/>
      <c r="E21" s="149">
        <f t="shared" si="0"/>
        <v>0</v>
      </c>
      <c r="F21" s="9"/>
    </row>
    <row r="22" spans="1:6" s="28" customFormat="1" ht="29.25" customHeight="1">
      <c r="A22" s="159" t="s">
        <v>189</v>
      </c>
      <c r="B22" s="144" t="s">
        <v>466</v>
      </c>
      <c r="C22" s="154"/>
      <c r="D22" s="88"/>
      <c r="E22" s="149">
        <f t="shared" si="0"/>
        <v>0</v>
      </c>
      <c r="F22" s="9"/>
    </row>
    <row r="23" spans="1:6" s="28" customFormat="1" ht="30">
      <c r="A23" s="159" t="s">
        <v>58</v>
      </c>
      <c r="B23" s="144" t="s">
        <v>467</v>
      </c>
      <c r="C23" s="154"/>
      <c r="D23" s="88"/>
      <c r="E23" s="149">
        <f t="shared" si="0"/>
        <v>0</v>
      </c>
      <c r="F23" s="9"/>
    </row>
    <row r="24" spans="1:6" s="28" customFormat="1" ht="15">
      <c r="A24" s="159" t="s">
        <v>190</v>
      </c>
      <c r="B24" s="144" t="s">
        <v>467</v>
      </c>
      <c r="C24" s="154"/>
      <c r="D24" s="88"/>
      <c r="E24" s="149">
        <f t="shared" si="0"/>
        <v>0</v>
      </c>
      <c r="F24" s="9"/>
    </row>
    <row r="25" spans="1:6" s="28" customFormat="1" ht="15">
      <c r="A25" s="159" t="s">
        <v>427</v>
      </c>
      <c r="B25" s="144" t="s">
        <v>467</v>
      </c>
      <c r="C25" s="154"/>
      <c r="D25" s="88"/>
      <c r="E25" s="149">
        <f t="shared" si="0"/>
        <v>0</v>
      </c>
      <c r="F25" s="9"/>
    </row>
    <row r="26" spans="1:6" s="28" customFormat="1" ht="15">
      <c r="A26" s="159" t="s">
        <v>191</v>
      </c>
      <c r="B26" s="145" t="s">
        <v>467</v>
      </c>
      <c r="C26" s="154"/>
      <c r="D26" s="88"/>
      <c r="E26" s="149">
        <f t="shared" si="0"/>
        <v>0</v>
      </c>
      <c r="F26" s="9"/>
    </row>
    <row r="27" spans="1:6" s="28" customFormat="1" ht="15">
      <c r="A27" s="159" t="s">
        <v>192</v>
      </c>
      <c r="B27" s="145" t="s">
        <v>468</v>
      </c>
      <c r="C27" s="154"/>
      <c r="D27" s="88"/>
      <c r="E27" s="149">
        <f t="shared" si="0"/>
        <v>0</v>
      </c>
      <c r="F27" s="9"/>
    </row>
    <row r="28" spans="1:6" s="28" customFormat="1" ht="38.25" customHeight="1">
      <c r="A28" s="159" t="s">
        <v>407</v>
      </c>
      <c r="B28" s="151" t="s">
        <v>469</v>
      </c>
      <c r="C28" s="30"/>
      <c r="D28" s="88"/>
      <c r="E28" s="149">
        <f t="shared" si="0"/>
        <v>0</v>
      </c>
      <c r="F28" s="9"/>
    </row>
    <row r="29" spans="1:6" s="28" customFormat="1" ht="15">
      <c r="A29" s="159" t="s">
        <v>193</v>
      </c>
      <c r="B29" s="145" t="s">
        <v>469</v>
      </c>
      <c r="C29" s="154"/>
      <c r="D29" s="88"/>
      <c r="E29" s="149">
        <f t="shared" si="0"/>
        <v>0</v>
      </c>
      <c r="F29" s="9"/>
    </row>
    <row r="30" spans="1:6" s="28" customFormat="1" ht="15">
      <c r="A30" s="159" t="s">
        <v>538</v>
      </c>
      <c r="B30" s="144" t="s">
        <v>470</v>
      </c>
      <c r="C30" s="154"/>
      <c r="D30" s="88"/>
      <c r="E30" s="149">
        <f t="shared" si="0"/>
        <v>0</v>
      </c>
      <c r="F30" s="9"/>
    </row>
    <row r="31" spans="1:6" s="28" customFormat="1" ht="30">
      <c r="A31" s="161" t="s">
        <v>406</v>
      </c>
      <c r="B31" s="144"/>
      <c r="C31" s="154"/>
      <c r="D31" s="88"/>
      <c r="E31" s="149">
        <f t="shared" si="0"/>
        <v>0</v>
      </c>
      <c r="F31" s="29"/>
    </row>
    <row r="32" spans="1:6" s="28" customFormat="1" ht="30">
      <c r="A32" s="159" t="s">
        <v>429</v>
      </c>
      <c r="B32" s="144" t="s">
        <v>471</v>
      </c>
      <c r="C32" s="154"/>
      <c r="D32" s="88"/>
      <c r="E32" s="149">
        <f t="shared" si="0"/>
        <v>0</v>
      </c>
      <c r="F32" s="29"/>
    </row>
    <row r="33" spans="1:5" s="28" customFormat="1" ht="30">
      <c r="A33" s="159" t="s">
        <v>408</v>
      </c>
      <c r="B33" s="144" t="s">
        <v>471</v>
      </c>
      <c r="C33" s="154"/>
      <c r="D33" s="88"/>
      <c r="E33" s="149">
        <f t="shared" si="0"/>
        <v>0</v>
      </c>
    </row>
    <row r="34" spans="1:5" s="28" customFormat="1" ht="41.25" customHeight="1">
      <c r="A34" s="159" t="s">
        <v>197</v>
      </c>
      <c r="B34" s="144" t="s">
        <v>472</v>
      </c>
      <c r="C34" s="154"/>
      <c r="D34" s="88"/>
      <c r="E34" s="149">
        <f t="shared" si="0"/>
        <v>0</v>
      </c>
    </row>
    <row r="35" spans="1:5" s="28" customFormat="1" ht="31.5">
      <c r="A35" s="159" t="s">
        <v>198</v>
      </c>
      <c r="B35" s="109" t="s">
        <v>473</v>
      </c>
      <c r="C35" s="188"/>
      <c r="D35" s="88"/>
      <c r="E35" s="149">
        <f t="shared" si="0"/>
        <v>0</v>
      </c>
    </row>
    <row r="36" spans="1:5" s="28" customFormat="1" ht="15">
      <c r="A36" s="159" t="s">
        <v>518</v>
      </c>
      <c r="B36" s="144" t="s">
        <v>474</v>
      </c>
      <c r="C36" s="154"/>
      <c r="D36" s="88"/>
      <c r="E36" s="149">
        <f t="shared" si="0"/>
        <v>0</v>
      </c>
    </row>
    <row r="37" spans="1:5" s="28" customFormat="1" ht="15">
      <c r="A37" s="159" t="s">
        <v>409</v>
      </c>
      <c r="B37" s="144" t="s">
        <v>475</v>
      </c>
      <c r="C37" s="154"/>
      <c r="D37" s="88"/>
      <c r="E37" s="149">
        <f t="shared" si="0"/>
        <v>0</v>
      </c>
    </row>
    <row r="38" spans="1:5" s="28" customFormat="1" ht="26.25" customHeight="1">
      <c r="A38" s="162" t="s">
        <v>539</v>
      </c>
      <c r="B38" s="144"/>
      <c r="C38" s="154"/>
      <c r="D38" s="88"/>
      <c r="E38" s="149">
        <f t="shared" si="0"/>
        <v>0</v>
      </c>
    </row>
    <row r="39" spans="1:5" s="28" customFormat="1" ht="15">
      <c r="A39" s="159" t="s">
        <v>542</v>
      </c>
      <c r="B39" s="144" t="s">
        <v>476</v>
      </c>
      <c r="C39" s="154"/>
      <c r="D39" s="88"/>
      <c r="E39" s="149">
        <f t="shared" si="0"/>
        <v>0</v>
      </c>
    </row>
    <row r="40" spans="1:5" s="28" customFormat="1" ht="15.75">
      <c r="A40" s="159" t="s">
        <v>541</v>
      </c>
      <c r="B40" s="151" t="s">
        <v>540</v>
      </c>
      <c r="C40" s="167">
        <v>11.8</v>
      </c>
      <c r="D40" s="88">
        <v>4</v>
      </c>
      <c r="E40" s="149">
        <f t="shared" si="0"/>
        <v>47.2</v>
      </c>
    </row>
    <row r="41" spans="1:6" s="28" customFormat="1" ht="15">
      <c r="A41" s="159" t="s">
        <v>543</v>
      </c>
      <c r="B41" s="155" t="s">
        <v>478</v>
      </c>
      <c r="C41" s="154"/>
      <c r="D41" s="88"/>
      <c r="E41" s="149">
        <f t="shared" si="0"/>
        <v>0</v>
      </c>
      <c r="F41" s="150"/>
    </row>
    <row r="42" spans="1:6" s="28" customFormat="1" ht="15">
      <c r="A42" s="159" t="s">
        <v>410</v>
      </c>
      <c r="B42" s="146" t="s">
        <v>152</v>
      </c>
      <c r="C42" s="154"/>
      <c r="D42" s="88"/>
      <c r="E42" s="149">
        <f t="shared" si="0"/>
        <v>0</v>
      </c>
      <c r="F42" s="150"/>
    </row>
    <row r="43" spans="1:5" s="28" customFormat="1" ht="15">
      <c r="A43" s="161" t="s">
        <v>206</v>
      </c>
      <c r="B43" s="146"/>
      <c r="C43" s="154"/>
      <c r="D43" s="88"/>
      <c r="E43" s="149">
        <f t="shared" si="0"/>
        <v>0</v>
      </c>
    </row>
    <row r="44" spans="1:5" s="28" customFormat="1" ht="24.75" customHeight="1">
      <c r="A44" s="159" t="s">
        <v>544</v>
      </c>
      <c r="B44" s="144" t="s">
        <v>33</v>
      </c>
      <c r="C44" s="154"/>
      <c r="D44" s="88"/>
      <c r="E44" s="149">
        <f t="shared" si="0"/>
        <v>0</v>
      </c>
    </row>
    <row r="45" spans="1:5" s="28" customFormat="1" ht="15">
      <c r="A45" s="189" t="s">
        <v>545</v>
      </c>
      <c r="B45" s="146" t="s">
        <v>479</v>
      </c>
      <c r="C45" s="154"/>
      <c r="D45" s="88"/>
      <c r="E45" s="149">
        <f t="shared" si="0"/>
        <v>0</v>
      </c>
    </row>
    <row r="46" spans="1:5" s="28" customFormat="1" ht="30">
      <c r="A46" s="159" t="s">
        <v>431</v>
      </c>
      <c r="B46" s="144" t="s">
        <v>480</v>
      </c>
      <c r="C46" s="154"/>
      <c r="D46" s="88"/>
      <c r="E46" s="149">
        <f t="shared" si="0"/>
        <v>0</v>
      </c>
    </row>
    <row r="47" spans="1:5" ht="15">
      <c r="A47" s="159" t="s">
        <v>208</v>
      </c>
      <c r="B47" s="144" t="s">
        <v>481</v>
      </c>
      <c r="C47" s="154"/>
      <c r="D47" s="88"/>
      <c r="E47" s="149">
        <f t="shared" si="0"/>
        <v>0</v>
      </c>
    </row>
    <row r="48" spans="1:5" ht="15">
      <c r="A48" s="159" t="s">
        <v>537</v>
      </c>
      <c r="B48" s="146" t="s">
        <v>482</v>
      </c>
      <c r="C48" s="154"/>
      <c r="D48" s="88"/>
      <c r="E48" s="149">
        <f t="shared" si="0"/>
        <v>0</v>
      </c>
    </row>
    <row r="49" spans="1:5" ht="30">
      <c r="A49" s="159" t="s">
        <v>433</v>
      </c>
      <c r="B49" s="111" t="s">
        <v>483</v>
      </c>
      <c r="C49" s="190"/>
      <c r="D49" s="88"/>
      <c r="E49" s="149">
        <f t="shared" si="0"/>
        <v>0</v>
      </c>
    </row>
    <row r="50" spans="1:5" ht="15">
      <c r="A50" s="159" t="s">
        <v>434</v>
      </c>
      <c r="B50" s="144" t="s">
        <v>484</v>
      </c>
      <c r="C50" s="191"/>
      <c r="D50" s="88"/>
      <c r="E50" s="149">
        <f t="shared" si="0"/>
        <v>0</v>
      </c>
    </row>
    <row r="51" spans="1:5" ht="24" customHeight="1">
      <c r="A51" s="159" t="s">
        <v>212</v>
      </c>
      <c r="B51" s="144" t="s">
        <v>485</v>
      </c>
      <c r="C51" s="154"/>
      <c r="D51" s="88"/>
      <c r="E51" s="149">
        <f t="shared" si="0"/>
        <v>0</v>
      </c>
    </row>
    <row r="52" spans="1:5" ht="20.25" customHeight="1">
      <c r="A52" s="159" t="s">
        <v>435</v>
      </c>
      <c r="B52" s="144" t="s">
        <v>486</v>
      </c>
      <c r="C52" s="154"/>
      <c r="D52" s="88"/>
      <c r="E52" s="149">
        <f t="shared" si="0"/>
        <v>0</v>
      </c>
    </row>
    <row r="53" spans="1:5" ht="25.5">
      <c r="A53" s="159" t="s">
        <v>436</v>
      </c>
      <c r="B53" s="144" t="s">
        <v>487</v>
      </c>
      <c r="C53" s="154"/>
      <c r="D53" s="88"/>
      <c r="E53" s="149">
        <f t="shared" si="0"/>
        <v>0</v>
      </c>
    </row>
    <row r="54" spans="1:5" ht="25.5" customHeight="1">
      <c r="A54" s="159" t="s">
        <v>437</v>
      </c>
      <c r="B54" s="144" t="s">
        <v>488</v>
      </c>
      <c r="C54" s="154"/>
      <c r="D54" s="88"/>
      <c r="E54" s="149">
        <f t="shared" si="0"/>
        <v>0</v>
      </c>
    </row>
    <row r="55" spans="1:5" ht="20.25" customHeight="1">
      <c r="A55" s="159" t="s">
        <v>438</v>
      </c>
      <c r="B55" s="144" t="s">
        <v>489</v>
      </c>
      <c r="C55" s="154"/>
      <c r="D55" s="88"/>
      <c r="E55" s="149">
        <f t="shared" si="0"/>
        <v>0</v>
      </c>
    </row>
    <row r="56" spans="1:5" ht="20.25" customHeight="1">
      <c r="A56" s="159" t="s">
        <v>439</v>
      </c>
      <c r="B56" s="144" t="s">
        <v>490</v>
      </c>
      <c r="C56" s="154"/>
      <c r="D56" s="88"/>
      <c r="E56" s="149">
        <f t="shared" si="0"/>
        <v>0</v>
      </c>
    </row>
    <row r="57" spans="1:5" ht="20.25" customHeight="1">
      <c r="A57" s="159" t="s">
        <v>440</v>
      </c>
      <c r="B57" s="144" t="s">
        <v>491</v>
      </c>
      <c r="C57" s="154"/>
      <c r="D57" s="88"/>
      <c r="E57" s="149">
        <f t="shared" si="0"/>
        <v>0</v>
      </c>
    </row>
    <row r="58" spans="1:5" ht="20.25" customHeight="1">
      <c r="A58" s="159" t="s">
        <v>63</v>
      </c>
      <c r="B58" s="144" t="s">
        <v>38</v>
      </c>
      <c r="C58" s="154"/>
      <c r="D58" s="88"/>
      <c r="E58" s="149">
        <f t="shared" si="0"/>
        <v>0</v>
      </c>
    </row>
    <row r="59" spans="1:5" ht="20.25" customHeight="1">
      <c r="A59" s="159" t="s">
        <v>64</v>
      </c>
      <c r="B59" s="144" t="s">
        <v>38</v>
      </c>
      <c r="C59" s="154"/>
      <c r="D59" s="88"/>
      <c r="E59" s="149">
        <f t="shared" si="0"/>
        <v>0</v>
      </c>
    </row>
    <row r="60" spans="1:5" ht="27" customHeight="1">
      <c r="A60" s="159" t="s">
        <v>65</v>
      </c>
      <c r="B60" s="144" t="s">
        <v>38</v>
      </c>
      <c r="C60" s="154"/>
      <c r="D60" s="88"/>
      <c r="E60" s="149">
        <f t="shared" si="0"/>
        <v>0</v>
      </c>
    </row>
    <row r="61" spans="1:5" ht="15">
      <c r="A61" s="159" t="s">
        <v>66</v>
      </c>
      <c r="B61" s="144" t="s">
        <v>38</v>
      </c>
      <c r="C61" s="154"/>
      <c r="D61" s="88"/>
      <c r="E61" s="149">
        <f t="shared" si="0"/>
        <v>0</v>
      </c>
    </row>
    <row r="62" spans="1:5" ht="15">
      <c r="A62" s="159" t="s">
        <v>217</v>
      </c>
      <c r="B62" s="144" t="s">
        <v>492</v>
      </c>
      <c r="C62" s="154"/>
      <c r="D62" s="88"/>
      <c r="E62" s="149">
        <f t="shared" si="0"/>
        <v>0</v>
      </c>
    </row>
    <row r="63" spans="1:5" ht="25.5">
      <c r="A63" s="159" t="s">
        <v>441</v>
      </c>
      <c r="B63" s="111" t="s">
        <v>493</v>
      </c>
      <c r="C63" s="154"/>
      <c r="D63" s="88"/>
      <c r="E63" s="149">
        <f t="shared" si="0"/>
        <v>0</v>
      </c>
    </row>
    <row r="64" spans="1:10" ht="25.5">
      <c r="A64" s="159" t="s">
        <v>442</v>
      </c>
      <c r="B64" s="111" t="s">
        <v>494</v>
      </c>
      <c r="C64" s="154"/>
      <c r="D64" s="88"/>
      <c r="E64" s="149">
        <f t="shared" si="0"/>
        <v>0</v>
      </c>
      <c r="J64" s="156"/>
    </row>
    <row r="65" spans="1:5" ht="15">
      <c r="A65" s="159" t="s">
        <v>219</v>
      </c>
      <c r="B65" s="111" t="s">
        <v>38</v>
      </c>
      <c r="C65" s="154"/>
      <c r="D65" s="88"/>
      <c r="E65" s="149">
        <f t="shared" si="0"/>
        <v>0</v>
      </c>
    </row>
    <row r="66" spans="1:5" ht="15">
      <c r="A66" s="159" t="s">
        <v>401</v>
      </c>
      <c r="B66" s="144" t="s">
        <v>495</v>
      </c>
      <c r="C66" s="154"/>
      <c r="D66" s="88"/>
      <c r="E66" s="149">
        <f t="shared" si="0"/>
        <v>0</v>
      </c>
    </row>
    <row r="67" spans="1:5" ht="15">
      <c r="A67" s="159" t="s">
        <v>402</v>
      </c>
      <c r="B67" s="111" t="s">
        <v>38</v>
      </c>
      <c r="C67" s="154"/>
      <c r="D67" s="88"/>
      <c r="E67" s="149">
        <f t="shared" si="0"/>
        <v>0</v>
      </c>
    </row>
    <row r="68" spans="1:5" ht="30">
      <c r="A68" s="159" t="s">
        <v>403</v>
      </c>
      <c r="B68" s="144" t="s">
        <v>38</v>
      </c>
      <c r="C68" s="154"/>
      <c r="D68" s="88"/>
      <c r="E68" s="149">
        <f t="shared" si="0"/>
        <v>0</v>
      </c>
    </row>
    <row r="69" spans="1:5" ht="30">
      <c r="A69" s="159" t="s">
        <v>404</v>
      </c>
      <c r="B69" s="144" t="s">
        <v>38</v>
      </c>
      <c r="C69" s="154"/>
      <c r="D69" s="88"/>
      <c r="E69" s="149">
        <f t="shared" si="0"/>
        <v>0</v>
      </c>
    </row>
    <row r="70" spans="1:5" ht="15">
      <c r="A70" s="159" t="s">
        <v>224</v>
      </c>
      <c r="B70" s="111" t="s">
        <v>38</v>
      </c>
      <c r="C70" s="154"/>
      <c r="D70" s="88"/>
      <c r="E70" s="149">
        <f t="shared" si="0"/>
        <v>0</v>
      </c>
    </row>
    <row r="71" spans="1:5" ht="15">
      <c r="A71" s="159" t="s">
        <v>443</v>
      </c>
      <c r="B71" s="144" t="s">
        <v>38</v>
      </c>
      <c r="C71" s="154"/>
      <c r="D71" s="88"/>
      <c r="E71" s="149">
        <f t="shared" si="0"/>
        <v>0</v>
      </c>
    </row>
    <row r="72" spans="1:5" ht="20.25" customHeight="1">
      <c r="A72" s="159" t="s">
        <v>226</v>
      </c>
      <c r="B72" s="144" t="s">
        <v>38</v>
      </c>
      <c r="C72" s="154"/>
      <c r="D72" s="88"/>
      <c r="E72" s="149">
        <f aca="true" t="shared" si="1" ref="E72:E103">ROUND(C72*D72,2)</f>
        <v>0</v>
      </c>
    </row>
    <row r="73" spans="1:5" ht="20.25" customHeight="1">
      <c r="A73" s="159" t="s">
        <v>227</v>
      </c>
      <c r="B73" s="144" t="s">
        <v>38</v>
      </c>
      <c r="C73" s="154"/>
      <c r="D73" s="88"/>
      <c r="E73" s="149">
        <f t="shared" si="1"/>
        <v>0</v>
      </c>
    </row>
    <row r="74" spans="1:5" ht="15">
      <c r="A74" s="159" t="s">
        <v>228</v>
      </c>
      <c r="B74" s="144" t="s">
        <v>38</v>
      </c>
      <c r="C74" s="154"/>
      <c r="D74" s="88"/>
      <c r="E74" s="149">
        <f t="shared" si="1"/>
        <v>0</v>
      </c>
    </row>
    <row r="75" spans="1:5" ht="15">
      <c r="A75" s="159" t="s">
        <v>411</v>
      </c>
      <c r="B75" s="111" t="s">
        <v>38</v>
      </c>
      <c r="C75" s="154"/>
      <c r="D75" s="88"/>
      <c r="E75" s="149">
        <f t="shared" si="1"/>
        <v>0</v>
      </c>
    </row>
    <row r="76" spans="1:6" ht="15">
      <c r="A76" s="159" t="s">
        <v>444</v>
      </c>
      <c r="B76" s="144" t="s">
        <v>38</v>
      </c>
      <c r="C76" s="154"/>
      <c r="D76" s="88"/>
      <c r="E76" s="149">
        <f t="shared" si="1"/>
        <v>0</v>
      </c>
      <c r="F76" s="142"/>
    </row>
    <row r="77" spans="1:5" ht="15">
      <c r="A77" s="159" t="s">
        <v>445</v>
      </c>
      <c r="B77" s="144" t="s">
        <v>38</v>
      </c>
      <c r="C77" s="154">
        <v>0.99</v>
      </c>
      <c r="D77" s="88">
        <v>1</v>
      </c>
      <c r="E77" s="149">
        <f t="shared" si="1"/>
        <v>0.99</v>
      </c>
    </row>
    <row r="78" spans="1:5" ht="15">
      <c r="A78" s="159" t="s">
        <v>446</v>
      </c>
      <c r="B78" s="144" t="s">
        <v>38</v>
      </c>
      <c r="C78" s="154"/>
      <c r="D78" s="88"/>
      <c r="E78" s="149">
        <f t="shared" si="1"/>
        <v>0</v>
      </c>
    </row>
    <row r="79" spans="1:5" ht="15">
      <c r="A79" s="159" t="s">
        <v>233</v>
      </c>
      <c r="B79" s="144" t="s">
        <v>38</v>
      </c>
      <c r="C79" s="154"/>
      <c r="D79" s="88"/>
      <c r="E79" s="149">
        <f t="shared" si="1"/>
        <v>0</v>
      </c>
    </row>
    <row r="80" spans="1:5" ht="15">
      <c r="A80" s="159" t="s">
        <v>447</v>
      </c>
      <c r="B80" s="144" t="s">
        <v>38</v>
      </c>
      <c r="C80" s="154"/>
      <c r="D80" s="88"/>
      <c r="E80" s="149">
        <f t="shared" si="1"/>
        <v>0</v>
      </c>
    </row>
    <row r="81" spans="1:5" ht="15">
      <c r="A81" s="159" t="s">
        <v>235</v>
      </c>
      <c r="B81" s="144" t="s">
        <v>496</v>
      </c>
      <c r="C81" s="154"/>
      <c r="D81" s="88"/>
      <c r="E81" s="149">
        <f t="shared" si="1"/>
        <v>0</v>
      </c>
    </row>
    <row r="82" spans="1:5" ht="15">
      <c r="A82" s="159" t="s">
        <v>235</v>
      </c>
      <c r="B82" s="111" t="s">
        <v>480</v>
      </c>
      <c r="C82" s="168"/>
      <c r="D82" s="88"/>
      <c r="E82" s="149">
        <f t="shared" si="1"/>
        <v>0</v>
      </c>
    </row>
    <row r="83" spans="1:5" ht="15">
      <c r="A83" s="159" t="s">
        <v>236</v>
      </c>
      <c r="B83" s="111" t="s">
        <v>38</v>
      </c>
      <c r="C83" s="154"/>
      <c r="D83" s="88"/>
      <c r="E83" s="149">
        <f t="shared" si="1"/>
        <v>0</v>
      </c>
    </row>
    <row r="84" spans="1:5" ht="26.25" customHeight="1">
      <c r="A84" s="159" t="s">
        <v>237</v>
      </c>
      <c r="B84" s="111" t="s">
        <v>38</v>
      </c>
      <c r="C84" s="168"/>
      <c r="D84" s="88"/>
      <c r="E84" s="149">
        <f t="shared" si="1"/>
        <v>0</v>
      </c>
    </row>
    <row r="85" spans="1:5" ht="25.5">
      <c r="A85" s="159" t="s">
        <v>448</v>
      </c>
      <c r="B85" s="144" t="s">
        <v>497</v>
      </c>
      <c r="C85" s="154"/>
      <c r="D85" s="88"/>
      <c r="E85" s="149">
        <f t="shared" si="1"/>
        <v>0</v>
      </c>
    </row>
    <row r="86" spans="1:5" ht="20.25" customHeight="1">
      <c r="A86" s="159" t="s">
        <v>449</v>
      </c>
      <c r="B86" s="144" t="s">
        <v>480</v>
      </c>
      <c r="C86" s="154"/>
      <c r="D86" s="88"/>
      <c r="E86" s="149">
        <f t="shared" si="1"/>
        <v>0</v>
      </c>
    </row>
    <row r="87" spans="1:5" ht="20.25" customHeight="1">
      <c r="A87" s="159" t="s">
        <v>450</v>
      </c>
      <c r="B87" s="111" t="s">
        <v>498</v>
      </c>
      <c r="C87" s="154"/>
      <c r="D87" s="88"/>
      <c r="E87" s="149">
        <f t="shared" si="1"/>
        <v>0</v>
      </c>
    </row>
    <row r="88" spans="1:5" ht="20.25" customHeight="1">
      <c r="A88" s="159" t="s">
        <v>16</v>
      </c>
      <c r="B88" s="144" t="s">
        <v>38</v>
      </c>
      <c r="C88" s="154"/>
      <c r="D88" s="88"/>
      <c r="E88" s="149">
        <f t="shared" si="1"/>
        <v>0</v>
      </c>
    </row>
    <row r="89" spans="1:5" ht="15.75">
      <c r="A89" s="159" t="s">
        <v>238</v>
      </c>
      <c r="B89" s="151" t="s">
        <v>38</v>
      </c>
      <c r="C89" s="154"/>
      <c r="D89" s="88"/>
      <c r="E89" s="149">
        <f t="shared" si="1"/>
        <v>0</v>
      </c>
    </row>
    <row r="90" spans="1:5" ht="15">
      <c r="A90" s="159" t="s">
        <v>546</v>
      </c>
      <c r="B90" s="146" t="s">
        <v>38</v>
      </c>
      <c r="C90" s="154"/>
      <c r="D90" s="88"/>
      <c r="E90" s="149">
        <f t="shared" si="1"/>
        <v>0</v>
      </c>
    </row>
    <row r="91" spans="1:5" ht="15">
      <c r="A91" s="159" t="s">
        <v>240</v>
      </c>
      <c r="B91" s="146" t="s">
        <v>38</v>
      </c>
      <c r="C91" s="154"/>
      <c r="D91" s="88"/>
      <c r="E91" s="149">
        <f t="shared" si="1"/>
        <v>0</v>
      </c>
    </row>
    <row r="92" spans="1:5" ht="15">
      <c r="A92" s="159" t="s">
        <v>241</v>
      </c>
      <c r="B92" s="146" t="s">
        <v>38</v>
      </c>
      <c r="C92" s="154"/>
      <c r="D92" s="88"/>
      <c r="E92" s="149">
        <f t="shared" si="1"/>
        <v>0</v>
      </c>
    </row>
    <row r="93" spans="1:5" ht="22.5" customHeight="1">
      <c r="A93" s="159" t="s">
        <v>451</v>
      </c>
      <c r="B93" s="35" t="s">
        <v>480</v>
      </c>
      <c r="C93" s="35"/>
      <c r="D93" s="88"/>
      <c r="E93" s="149">
        <f t="shared" si="1"/>
        <v>0</v>
      </c>
    </row>
    <row r="94" spans="1:5" ht="15">
      <c r="A94" s="159" t="s">
        <v>452</v>
      </c>
      <c r="B94" s="35" t="s">
        <v>499</v>
      </c>
      <c r="C94" s="35"/>
      <c r="D94" s="88"/>
      <c r="E94" s="149">
        <f t="shared" si="1"/>
        <v>0</v>
      </c>
    </row>
    <row r="95" spans="1:5" ht="15">
      <c r="A95" s="159" t="s">
        <v>453</v>
      </c>
      <c r="B95" s="35" t="s">
        <v>500</v>
      </c>
      <c r="C95" s="35"/>
      <c r="D95" s="88"/>
      <c r="E95" s="149">
        <f t="shared" si="1"/>
        <v>0</v>
      </c>
    </row>
    <row r="96" spans="1:5" ht="15">
      <c r="A96" s="165" t="s">
        <v>454</v>
      </c>
      <c r="B96" s="35" t="s">
        <v>501</v>
      </c>
      <c r="C96" s="35"/>
      <c r="D96" s="88"/>
      <c r="E96" s="149">
        <f t="shared" si="1"/>
        <v>0</v>
      </c>
    </row>
    <row r="97" spans="1:5" ht="15">
      <c r="A97" s="165" t="s">
        <v>242</v>
      </c>
      <c r="B97" s="35" t="s">
        <v>38</v>
      </c>
      <c r="C97" s="35"/>
      <c r="D97" s="88"/>
      <c r="E97" s="149">
        <f t="shared" si="1"/>
        <v>0</v>
      </c>
    </row>
    <row r="98" spans="1:5" ht="15">
      <c r="A98" s="165" t="s">
        <v>582</v>
      </c>
      <c r="B98" s="35" t="s">
        <v>38</v>
      </c>
      <c r="C98" s="35">
        <v>45.9</v>
      </c>
      <c r="D98" s="88">
        <v>1</v>
      </c>
      <c r="E98" s="149">
        <f t="shared" si="1"/>
        <v>45.9</v>
      </c>
    </row>
    <row r="99" spans="1:5" ht="15">
      <c r="A99" s="161" t="s">
        <v>243</v>
      </c>
      <c r="B99" s="35"/>
      <c r="C99" s="35"/>
      <c r="D99" s="88"/>
      <c r="E99" s="149">
        <f t="shared" si="1"/>
        <v>0</v>
      </c>
    </row>
    <row r="100" spans="1:5" ht="15">
      <c r="A100" s="165" t="s">
        <v>456</v>
      </c>
      <c r="B100" s="35" t="s">
        <v>502</v>
      </c>
      <c r="C100" s="35"/>
      <c r="D100" s="88"/>
      <c r="E100" s="149">
        <f t="shared" si="1"/>
        <v>0</v>
      </c>
    </row>
    <row r="101" spans="1:5" ht="15">
      <c r="A101" s="165" t="s">
        <v>457</v>
      </c>
      <c r="B101" s="35" t="s">
        <v>502</v>
      </c>
      <c r="C101" s="35"/>
      <c r="D101" s="88"/>
      <c r="E101" s="149">
        <f t="shared" si="1"/>
        <v>0</v>
      </c>
    </row>
    <row r="102" spans="1:5" ht="15">
      <c r="A102" s="165" t="s">
        <v>508</v>
      </c>
      <c r="B102" s="35" t="s">
        <v>503</v>
      </c>
      <c r="C102" s="35"/>
      <c r="D102" s="88"/>
      <c r="E102" s="149">
        <f t="shared" si="1"/>
        <v>0</v>
      </c>
    </row>
    <row r="103" spans="1:5" ht="14.25">
      <c r="A103" s="35"/>
      <c r="B103" s="35"/>
      <c r="C103" s="35"/>
      <c r="D103" s="35"/>
      <c r="E103" s="149">
        <f t="shared" si="1"/>
        <v>0</v>
      </c>
    </row>
    <row r="104" spans="1:5" ht="15">
      <c r="A104" s="63" t="s">
        <v>572</v>
      </c>
      <c r="B104" s="35"/>
      <c r="C104" s="35"/>
      <c r="D104" s="35"/>
      <c r="E104" s="177">
        <f>SUM(E7:E103)-E45</f>
        <v>166.09</v>
      </c>
    </row>
    <row r="105" spans="1:5" ht="15">
      <c r="A105" s="178" t="s">
        <v>505</v>
      </c>
      <c r="B105" s="35"/>
      <c r="C105" s="35"/>
      <c r="D105" s="35"/>
      <c r="E105" s="179">
        <f>E104*22%</f>
        <v>36.5398</v>
      </c>
    </row>
    <row r="106" spans="1:5" ht="15">
      <c r="A106" s="63" t="s">
        <v>573</v>
      </c>
      <c r="B106" s="35"/>
      <c r="C106" s="35"/>
      <c r="D106" s="35"/>
      <c r="E106" s="179">
        <f>E45</f>
        <v>0</v>
      </c>
    </row>
    <row r="107" spans="1:5" ht="15">
      <c r="A107" s="178" t="s">
        <v>574</v>
      </c>
      <c r="B107" s="35"/>
      <c r="C107" s="35"/>
      <c r="D107" s="35"/>
      <c r="E107" s="179">
        <f>E106*5%</f>
        <v>0</v>
      </c>
    </row>
    <row r="108" spans="1:5" ht="15">
      <c r="A108" s="180" t="s">
        <v>504</v>
      </c>
      <c r="B108" s="35"/>
      <c r="C108" s="35"/>
      <c r="D108" s="35"/>
      <c r="E108" s="179">
        <f>SUM(E104:E107)</f>
        <v>202.6298</v>
      </c>
    </row>
  </sheetData>
  <sheetProtection/>
  <mergeCells count="5">
    <mergeCell ref="A1:F1"/>
    <mergeCell ref="A2:F2"/>
    <mergeCell ref="A3:F3"/>
    <mergeCell ref="A4:A5"/>
    <mergeCell ref="B4:E4"/>
  </mergeCells>
  <printOptions horizontalCentered="1" verticalCentered="1"/>
  <pageMargins left="0.1968503937007874" right="0.1968503937007874" top="0.3937007874015748" bottom="0.7874015748031497" header="0.2362204724409449" footer="0.15748031496062992"/>
  <pageSetup fitToHeight="2" horizontalDpi="600" verticalDpi="600" orientation="portrait" paperSize="9" scale="57" r:id="rId1"/>
  <rowBreaks count="1" manualBreakCount="1">
    <brk id="46" max="5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dimension ref="A2:AD77"/>
  <sheetViews>
    <sheetView view="pageBreakPreview" zoomScale="75" zoomScaleNormal="90" zoomScaleSheetLayoutView="75" zoomScalePageLayoutView="0" workbookViewId="0" topLeftCell="A1">
      <pane xSplit="10" ySplit="2" topLeftCell="V36" activePane="bottomRight" state="frozen"/>
      <selection pane="topLeft" activeCell="A1" sqref="A1"/>
      <selection pane="topRight" activeCell="K1" sqref="K1"/>
      <selection pane="bottomLeft" activeCell="A3" sqref="A3"/>
      <selection pane="bottomRight" activeCell="B4" sqref="B4:J4"/>
    </sheetView>
  </sheetViews>
  <sheetFormatPr defaultColWidth="9.140625" defaultRowHeight="12.75"/>
  <cols>
    <col min="1" max="1" width="69.421875" style="0" customWidth="1"/>
    <col min="2" max="2" width="16.28125" style="0" customWidth="1"/>
    <col min="3" max="3" width="13.140625" style="0" customWidth="1"/>
    <col min="4" max="4" width="12.28125" style="0" customWidth="1"/>
    <col min="5" max="5" width="24.57421875" style="0" customWidth="1"/>
    <col min="6" max="6" width="8.8515625" style="0" customWidth="1"/>
    <col min="7" max="7" width="10.00390625" style="0" customWidth="1"/>
    <col min="8" max="8" width="16.8515625" style="0" customWidth="1"/>
    <col min="9" max="9" width="11.28125" style="0" customWidth="1"/>
    <col min="10" max="10" width="10.57421875" style="0" customWidth="1"/>
    <col min="11" max="11" width="17.8515625" style="0" customWidth="1"/>
    <col min="12" max="12" width="10.57421875" style="0" customWidth="1"/>
    <col min="13" max="13" width="11.00390625" style="0" customWidth="1"/>
    <col min="14" max="14" width="17.8515625" style="0" customWidth="1"/>
    <col min="15" max="15" width="11.00390625" style="0" customWidth="1"/>
    <col min="16" max="16" width="10.421875" style="0" customWidth="1"/>
    <col min="17" max="17" width="17.57421875" style="0" customWidth="1"/>
    <col min="18" max="18" width="10.28125" style="0" customWidth="1"/>
    <col min="19" max="19" width="10.8515625" style="0" customWidth="1"/>
    <col min="20" max="20" width="13.8515625" style="0" customWidth="1"/>
    <col min="21" max="21" width="16.7109375" style="0" customWidth="1"/>
    <col min="22" max="22" width="16.28125" style="0" customWidth="1"/>
    <col min="25" max="25" width="11.421875" style="0" bestFit="1" customWidth="1"/>
    <col min="26" max="26" width="14.00390625" style="0" customWidth="1"/>
    <col min="27" max="27" width="11.421875" style="0" bestFit="1" customWidth="1"/>
    <col min="28" max="28" width="13.140625" style="0" bestFit="1" customWidth="1"/>
    <col min="29" max="29" width="11.00390625" style="0" bestFit="1" customWidth="1"/>
    <col min="30" max="30" width="11.00390625" style="0" customWidth="1"/>
  </cols>
  <sheetData>
    <row r="1" ht="13.5" thickBot="1"/>
    <row r="2" spans="1:19" ht="18.75" thickBot="1">
      <c r="A2" s="209" t="s">
        <v>99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1"/>
    </row>
    <row r="3" ht="13.5" thickBot="1"/>
    <row r="4" spans="1:30" ht="15.75" customHeight="1">
      <c r="A4" s="218" t="s">
        <v>0</v>
      </c>
      <c r="B4" s="220" t="s">
        <v>29</v>
      </c>
      <c r="C4" s="221"/>
      <c r="D4" s="222"/>
      <c r="E4" s="228" t="s">
        <v>39</v>
      </c>
      <c r="F4" s="229"/>
      <c r="G4" s="230"/>
      <c r="H4" s="231" t="s">
        <v>76</v>
      </c>
      <c r="I4" s="232"/>
      <c r="J4" s="233"/>
      <c r="K4" s="236" t="s">
        <v>44</v>
      </c>
      <c r="L4" s="237"/>
      <c r="M4" s="238"/>
      <c r="N4" s="239" t="s">
        <v>77</v>
      </c>
      <c r="O4" s="240"/>
      <c r="P4" s="241"/>
      <c r="Q4" s="223" t="s">
        <v>78</v>
      </c>
      <c r="R4" s="224"/>
      <c r="S4" s="225"/>
      <c r="T4" s="10"/>
      <c r="V4" s="216" t="s">
        <v>1</v>
      </c>
      <c r="W4" s="216"/>
      <c r="Y4" s="212" t="s">
        <v>57</v>
      </c>
      <c r="Z4" s="214" t="s">
        <v>135</v>
      </c>
      <c r="AA4" s="226" t="s">
        <v>134</v>
      </c>
      <c r="AB4" s="234" t="s">
        <v>56</v>
      </c>
      <c r="AC4" s="235" t="s">
        <v>139</v>
      </c>
      <c r="AD4" s="217" t="s">
        <v>138</v>
      </c>
    </row>
    <row r="5" spans="1:30" ht="18.75" customHeight="1">
      <c r="A5" s="219"/>
      <c r="B5" s="64" t="s">
        <v>2</v>
      </c>
      <c r="C5" s="65" t="s">
        <v>3</v>
      </c>
      <c r="D5" s="66" t="s">
        <v>4</v>
      </c>
      <c r="E5" s="67" t="s">
        <v>2</v>
      </c>
      <c r="F5" s="68" t="s">
        <v>3</v>
      </c>
      <c r="G5" s="69" t="s">
        <v>4</v>
      </c>
      <c r="H5" s="70" t="s">
        <v>2</v>
      </c>
      <c r="I5" s="71" t="s">
        <v>3</v>
      </c>
      <c r="J5" s="72" t="s">
        <v>4</v>
      </c>
      <c r="K5" s="73" t="s">
        <v>2</v>
      </c>
      <c r="L5" s="74" t="s">
        <v>3</v>
      </c>
      <c r="M5" s="75" t="s">
        <v>4</v>
      </c>
      <c r="N5" s="82" t="s">
        <v>2</v>
      </c>
      <c r="O5" s="83" t="s">
        <v>3</v>
      </c>
      <c r="P5" s="84" t="s">
        <v>4</v>
      </c>
      <c r="Q5" s="76" t="s">
        <v>2</v>
      </c>
      <c r="R5" s="77" t="s">
        <v>3</v>
      </c>
      <c r="S5" s="78" t="s">
        <v>4</v>
      </c>
      <c r="T5" s="11"/>
      <c r="V5" s="216"/>
      <c r="W5" s="216"/>
      <c r="Y5" s="213"/>
      <c r="Z5" s="215"/>
      <c r="AA5" s="226"/>
      <c r="AB5" s="234"/>
      <c r="AC5" s="235"/>
      <c r="AD5" s="217"/>
    </row>
    <row r="6" spans="1:30" s="28" customFormat="1" ht="23.25" customHeight="1">
      <c r="A6" s="40" t="s">
        <v>30</v>
      </c>
      <c r="B6" s="13" t="s">
        <v>105</v>
      </c>
      <c r="C6" s="1">
        <v>26.8</v>
      </c>
      <c r="D6" s="45">
        <f>C6/20</f>
        <v>1.34</v>
      </c>
      <c r="E6" s="14" t="s">
        <v>100</v>
      </c>
      <c r="F6" s="2">
        <v>1.38</v>
      </c>
      <c r="G6" s="12">
        <f>F6/1</f>
        <v>1.38</v>
      </c>
      <c r="H6" s="13" t="s">
        <v>108</v>
      </c>
      <c r="I6" s="1">
        <v>16.2</v>
      </c>
      <c r="J6" s="12">
        <f>I6/12</f>
        <v>1.3499999999999999</v>
      </c>
      <c r="K6" s="13" t="s">
        <v>45</v>
      </c>
      <c r="L6" s="1">
        <v>27</v>
      </c>
      <c r="M6" s="12">
        <f>L6/20</f>
        <v>1.35</v>
      </c>
      <c r="N6" s="15" t="s">
        <v>47</v>
      </c>
      <c r="O6" s="1">
        <v>18.24</v>
      </c>
      <c r="P6" s="12">
        <f>O6/9</f>
        <v>2.0266666666666664</v>
      </c>
      <c r="Q6" s="13" t="s">
        <v>45</v>
      </c>
      <c r="R6" s="1">
        <v>30</v>
      </c>
      <c r="S6" s="12">
        <f>R6/20</f>
        <v>1.5</v>
      </c>
      <c r="T6" s="9"/>
      <c r="V6" s="3" t="s">
        <v>143</v>
      </c>
      <c r="W6" s="4"/>
      <c r="Y6" s="88">
        <f aca="true" t="shared" si="0" ref="Y6:Y37">W6*D6</f>
        <v>0</v>
      </c>
      <c r="Z6" s="88">
        <f aca="true" t="shared" si="1" ref="Z6:Z37">W6*G6</f>
        <v>0</v>
      </c>
      <c r="AA6" s="89">
        <f aca="true" t="shared" si="2" ref="AA6:AA37">W6*J6</f>
        <v>0</v>
      </c>
      <c r="AB6" s="89">
        <f aca="true" t="shared" si="3" ref="AB6:AB37">W6*M6</f>
        <v>0</v>
      </c>
      <c r="AC6" s="5">
        <f aca="true" t="shared" si="4" ref="AC6:AC51">W6*P6</f>
        <v>0</v>
      </c>
      <c r="AD6" s="30">
        <f aca="true" t="shared" si="5" ref="AD6:AD51">W6*S6</f>
        <v>0</v>
      </c>
    </row>
    <row r="7" spans="1:30" s="28" customFormat="1" ht="25.5">
      <c r="A7" s="40" t="s">
        <v>31</v>
      </c>
      <c r="B7" s="14" t="s">
        <v>106</v>
      </c>
      <c r="C7" s="1">
        <v>5.6</v>
      </c>
      <c r="D7" s="46">
        <f>C7/16</f>
        <v>0.35</v>
      </c>
      <c r="E7" s="14" t="s">
        <v>100</v>
      </c>
      <c r="F7" s="5">
        <v>0.33</v>
      </c>
      <c r="G7" s="16">
        <f>F7/1</f>
        <v>0.33</v>
      </c>
      <c r="H7" s="14" t="s">
        <v>109</v>
      </c>
      <c r="I7" s="1">
        <v>4.56</v>
      </c>
      <c r="J7" s="12">
        <f>I7/12</f>
        <v>0.37999999999999995</v>
      </c>
      <c r="K7" s="13" t="s">
        <v>45</v>
      </c>
      <c r="L7" s="1">
        <v>7.6</v>
      </c>
      <c r="M7" s="12">
        <f>L7/20</f>
        <v>0.38</v>
      </c>
      <c r="N7" s="13" t="s">
        <v>124</v>
      </c>
      <c r="O7" s="1">
        <v>5.88</v>
      </c>
      <c r="P7" s="12">
        <f>O7/12</f>
        <v>0.49</v>
      </c>
      <c r="Q7" s="13" t="s">
        <v>124</v>
      </c>
      <c r="R7" s="1">
        <v>5.88</v>
      </c>
      <c r="S7" s="12">
        <f>R7/12</f>
        <v>0.49</v>
      </c>
      <c r="T7" s="9"/>
      <c r="V7" s="3" t="s">
        <v>144</v>
      </c>
      <c r="W7" s="4">
        <v>48</v>
      </c>
      <c r="Y7" s="88">
        <f t="shared" si="0"/>
        <v>16.799999999999997</v>
      </c>
      <c r="Z7" s="88">
        <f t="shared" si="1"/>
        <v>15.84</v>
      </c>
      <c r="AA7" s="89">
        <f t="shared" si="2"/>
        <v>18.24</v>
      </c>
      <c r="AB7" s="89">
        <f t="shared" si="3"/>
        <v>18.240000000000002</v>
      </c>
      <c r="AC7" s="30">
        <f t="shared" si="4"/>
        <v>23.52</v>
      </c>
      <c r="AD7" s="30">
        <f t="shared" si="5"/>
        <v>23.52</v>
      </c>
    </row>
    <row r="8" spans="1:30" s="28" customFormat="1" ht="25.5">
      <c r="A8" s="40" t="s">
        <v>32</v>
      </c>
      <c r="B8" s="14" t="s">
        <v>107</v>
      </c>
      <c r="C8" s="1">
        <v>5.36</v>
      </c>
      <c r="D8" s="46">
        <f>C8/16</f>
        <v>0.335</v>
      </c>
      <c r="E8" s="14" t="s">
        <v>101</v>
      </c>
      <c r="F8" s="8">
        <v>0.82</v>
      </c>
      <c r="G8" s="18">
        <f>F8/4</f>
        <v>0.205</v>
      </c>
      <c r="H8" s="14" t="s">
        <v>107</v>
      </c>
      <c r="I8" s="1">
        <v>5.12</v>
      </c>
      <c r="J8" s="12">
        <f>I8/16</f>
        <v>0.32</v>
      </c>
      <c r="K8" s="15" t="s">
        <v>46</v>
      </c>
      <c r="L8" s="1">
        <v>5.6</v>
      </c>
      <c r="M8" s="12">
        <f>L8/16</f>
        <v>0.35</v>
      </c>
      <c r="N8" s="15" t="s">
        <v>125</v>
      </c>
      <c r="O8" s="1">
        <v>5.8</v>
      </c>
      <c r="P8" s="12">
        <f>O8/16</f>
        <v>0.3625</v>
      </c>
      <c r="Q8" s="15" t="s">
        <v>46</v>
      </c>
      <c r="R8" s="1">
        <v>6.08</v>
      </c>
      <c r="S8" s="12">
        <f>R8/16</f>
        <v>0.38</v>
      </c>
      <c r="T8" s="9"/>
      <c r="V8" s="3" t="s">
        <v>136</v>
      </c>
      <c r="W8" s="4"/>
      <c r="Y8" s="88">
        <f t="shared" si="0"/>
        <v>0</v>
      </c>
      <c r="Z8" s="88">
        <f t="shared" si="1"/>
        <v>0</v>
      </c>
      <c r="AA8" s="89">
        <f t="shared" si="2"/>
        <v>0</v>
      </c>
      <c r="AB8" s="89">
        <f t="shared" si="3"/>
        <v>0</v>
      </c>
      <c r="AC8" s="30">
        <f t="shared" si="4"/>
        <v>0</v>
      </c>
      <c r="AD8" s="30">
        <f t="shared" si="5"/>
        <v>0</v>
      </c>
    </row>
    <row r="9" spans="1:30" s="28" customFormat="1" ht="52.5" customHeight="1">
      <c r="A9" s="40" t="s">
        <v>71</v>
      </c>
      <c r="B9" s="15" t="s">
        <v>79</v>
      </c>
      <c r="C9" s="1">
        <v>13.2</v>
      </c>
      <c r="D9" s="46">
        <f>C9/9</f>
        <v>1.4666666666666666</v>
      </c>
      <c r="E9" s="14" t="s">
        <v>102</v>
      </c>
      <c r="F9" s="5">
        <v>1.58</v>
      </c>
      <c r="G9" s="16">
        <f>F9/1</f>
        <v>1.58</v>
      </c>
      <c r="H9" s="17" t="s">
        <v>110</v>
      </c>
      <c r="I9" s="53">
        <v>10.56</v>
      </c>
      <c r="J9" s="16">
        <f>I9/12</f>
        <v>0.88</v>
      </c>
      <c r="K9" s="15" t="s">
        <v>47</v>
      </c>
      <c r="L9" s="6">
        <v>16.2</v>
      </c>
      <c r="M9" s="16">
        <f>L9/9</f>
        <v>1.7999999999999998</v>
      </c>
      <c r="N9" s="13" t="s">
        <v>126</v>
      </c>
      <c r="O9" s="6">
        <v>23.13</v>
      </c>
      <c r="P9" s="16">
        <f>O9/9</f>
        <v>2.57</v>
      </c>
      <c r="Q9" s="15" t="s">
        <v>47</v>
      </c>
      <c r="R9" s="6">
        <v>15.48</v>
      </c>
      <c r="S9" s="16">
        <f>R9/9</f>
        <v>1.72</v>
      </c>
      <c r="T9" s="9"/>
      <c r="V9" s="3" t="s">
        <v>143</v>
      </c>
      <c r="W9" s="4"/>
      <c r="Y9" s="88">
        <f t="shared" si="0"/>
        <v>0</v>
      </c>
      <c r="Z9" s="88">
        <f t="shared" si="1"/>
        <v>0</v>
      </c>
      <c r="AA9" s="89">
        <f t="shared" si="2"/>
        <v>0</v>
      </c>
      <c r="AB9" s="89">
        <f t="shared" si="3"/>
        <v>0</v>
      </c>
      <c r="AC9" s="30">
        <f t="shared" si="4"/>
        <v>0</v>
      </c>
      <c r="AD9" s="30">
        <f t="shared" si="5"/>
        <v>0</v>
      </c>
    </row>
    <row r="10" spans="1:30" s="28" customFormat="1" ht="43.5" customHeight="1">
      <c r="A10" s="40" t="s">
        <v>58</v>
      </c>
      <c r="B10" s="14" t="s">
        <v>80</v>
      </c>
      <c r="C10" s="1">
        <v>15.48</v>
      </c>
      <c r="D10" s="46">
        <f>C10/12</f>
        <v>1.29</v>
      </c>
      <c r="E10" s="14" t="s">
        <v>102</v>
      </c>
      <c r="F10" s="5">
        <v>1.01</v>
      </c>
      <c r="G10" s="16">
        <f>F10/1</f>
        <v>1.01</v>
      </c>
      <c r="H10" s="17" t="s">
        <v>110</v>
      </c>
      <c r="I10" s="6">
        <v>9.36</v>
      </c>
      <c r="J10" s="16">
        <f>I10/12</f>
        <v>0.7799999999999999</v>
      </c>
      <c r="K10" s="14" t="s">
        <v>48</v>
      </c>
      <c r="L10" s="6">
        <v>19.2</v>
      </c>
      <c r="M10" s="16">
        <f>L10/12</f>
        <v>1.5999999999999999</v>
      </c>
      <c r="N10" s="13" t="s">
        <v>126</v>
      </c>
      <c r="O10" s="6">
        <v>25.56</v>
      </c>
      <c r="P10" s="16">
        <f>O10/9</f>
        <v>2.84</v>
      </c>
      <c r="Q10" s="14" t="s">
        <v>48</v>
      </c>
      <c r="R10" s="6">
        <v>22.08</v>
      </c>
      <c r="S10" s="16">
        <f>R10/12</f>
        <v>1.8399999999999999</v>
      </c>
      <c r="T10" s="9"/>
      <c r="V10" s="3"/>
      <c r="W10" s="4"/>
      <c r="Y10" s="88">
        <f t="shared" si="0"/>
        <v>0</v>
      </c>
      <c r="Z10" s="88">
        <f t="shared" si="1"/>
        <v>0</v>
      </c>
      <c r="AA10" s="89">
        <f t="shared" si="2"/>
        <v>0</v>
      </c>
      <c r="AB10" s="89">
        <f t="shared" si="3"/>
        <v>0</v>
      </c>
      <c r="AC10" s="30">
        <f t="shared" si="4"/>
        <v>0</v>
      </c>
      <c r="AD10" s="30">
        <f t="shared" si="5"/>
        <v>0</v>
      </c>
    </row>
    <row r="11" spans="1:30" s="28" customFormat="1" ht="55.5" customHeight="1">
      <c r="A11" s="40" t="s">
        <v>72</v>
      </c>
      <c r="B11" s="15" t="s">
        <v>81</v>
      </c>
      <c r="C11" s="6">
        <v>10.35</v>
      </c>
      <c r="D11" s="46">
        <f>C11/15</f>
        <v>0.69</v>
      </c>
      <c r="E11" s="14" t="s">
        <v>101</v>
      </c>
      <c r="F11" s="5">
        <v>1.43</v>
      </c>
      <c r="G11" s="16">
        <f>F11/4</f>
        <v>0.3575</v>
      </c>
      <c r="H11" s="15" t="s">
        <v>111</v>
      </c>
      <c r="I11" s="6">
        <v>8.4</v>
      </c>
      <c r="J11" s="16">
        <f>I11/20</f>
        <v>0.42000000000000004</v>
      </c>
      <c r="K11" s="15" t="s">
        <v>49</v>
      </c>
      <c r="L11" s="6">
        <v>14.4</v>
      </c>
      <c r="M11" s="16">
        <f>L11/12</f>
        <v>1.2</v>
      </c>
      <c r="N11" s="15" t="s">
        <v>127</v>
      </c>
      <c r="O11" s="6">
        <v>44.8</v>
      </c>
      <c r="P11" s="16">
        <f>O11/20</f>
        <v>2.2399999999999998</v>
      </c>
      <c r="Q11" s="15" t="s">
        <v>111</v>
      </c>
      <c r="R11" s="6">
        <v>16.52</v>
      </c>
      <c r="S11" s="16">
        <f>R11/20</f>
        <v>0.826</v>
      </c>
      <c r="T11" s="9"/>
      <c r="V11" s="3" t="s">
        <v>137</v>
      </c>
      <c r="W11" s="4"/>
      <c r="Y11" s="88">
        <f t="shared" si="0"/>
        <v>0</v>
      </c>
      <c r="Z11" s="88">
        <f t="shared" si="1"/>
        <v>0</v>
      </c>
      <c r="AA11" s="89">
        <f t="shared" si="2"/>
        <v>0</v>
      </c>
      <c r="AB11" s="89">
        <f t="shared" si="3"/>
        <v>0</v>
      </c>
      <c r="AC11" s="30">
        <f t="shared" si="4"/>
        <v>0</v>
      </c>
      <c r="AD11" s="30">
        <f t="shared" si="5"/>
        <v>0</v>
      </c>
    </row>
    <row r="12" spans="1:30" s="28" customFormat="1" ht="39.75" customHeight="1">
      <c r="A12" s="40" t="s">
        <v>59</v>
      </c>
      <c r="B12" s="15" t="s">
        <v>82</v>
      </c>
      <c r="C12" s="6">
        <v>12.8</v>
      </c>
      <c r="D12" s="46">
        <f>C12/12</f>
        <v>1.0666666666666667</v>
      </c>
      <c r="E12" s="14" t="s">
        <v>100</v>
      </c>
      <c r="F12" s="5">
        <v>0.77</v>
      </c>
      <c r="G12" s="16">
        <f>F12/1</f>
        <v>0.77</v>
      </c>
      <c r="H12" s="17" t="s">
        <v>110</v>
      </c>
      <c r="I12" s="6">
        <v>11.88</v>
      </c>
      <c r="J12" s="16">
        <f>I12/12</f>
        <v>0.9900000000000001</v>
      </c>
      <c r="K12" s="15" t="s">
        <v>120</v>
      </c>
      <c r="L12" s="6">
        <v>15.2</v>
      </c>
      <c r="M12" s="16">
        <f>L12/12</f>
        <v>1.2666666666666666</v>
      </c>
      <c r="N12" s="15" t="s">
        <v>128</v>
      </c>
      <c r="O12" s="6">
        <v>16.8</v>
      </c>
      <c r="P12" s="16">
        <f>O12/5.7</f>
        <v>2.9473684210526314</v>
      </c>
      <c r="Q12" s="15" t="s">
        <v>120</v>
      </c>
      <c r="R12" s="6">
        <v>15.2</v>
      </c>
      <c r="S12" s="16">
        <f>R12/12</f>
        <v>1.2666666666666666</v>
      </c>
      <c r="T12" s="9"/>
      <c r="V12" s="3" t="s">
        <v>144</v>
      </c>
      <c r="W12" s="4"/>
      <c r="Y12" s="88">
        <f t="shared" si="0"/>
        <v>0</v>
      </c>
      <c r="Z12" s="88">
        <f t="shared" si="1"/>
        <v>0</v>
      </c>
      <c r="AA12" s="89">
        <f t="shared" si="2"/>
        <v>0</v>
      </c>
      <c r="AB12" s="89">
        <f t="shared" si="3"/>
        <v>0</v>
      </c>
      <c r="AC12" s="30">
        <f t="shared" si="4"/>
        <v>0</v>
      </c>
      <c r="AD12" s="30">
        <f t="shared" si="5"/>
        <v>0</v>
      </c>
    </row>
    <row r="13" spans="1:30" s="28" customFormat="1" ht="36.75" customHeight="1">
      <c r="A13" s="40" t="s">
        <v>73</v>
      </c>
      <c r="B13" s="14" t="s">
        <v>84</v>
      </c>
      <c r="C13" s="6">
        <v>7.78</v>
      </c>
      <c r="D13" s="46">
        <f>C13/16</f>
        <v>0.48625</v>
      </c>
      <c r="E13" s="14" t="s">
        <v>101</v>
      </c>
      <c r="F13" s="8">
        <v>1.43</v>
      </c>
      <c r="G13" s="16">
        <f>F13/4</f>
        <v>0.3575</v>
      </c>
      <c r="H13" s="15" t="s">
        <v>111</v>
      </c>
      <c r="I13" s="6">
        <v>11.6</v>
      </c>
      <c r="J13" s="16">
        <f>I13/20</f>
        <v>0.58</v>
      </c>
      <c r="K13" s="15" t="s">
        <v>111</v>
      </c>
      <c r="L13" s="6">
        <v>13.2</v>
      </c>
      <c r="M13" s="16">
        <f>L13/20</f>
        <v>0.6599999999999999</v>
      </c>
      <c r="N13" s="15" t="s">
        <v>129</v>
      </c>
      <c r="O13" s="6">
        <v>41.58</v>
      </c>
      <c r="P13" s="16">
        <f>O13/24</f>
        <v>1.7325</v>
      </c>
      <c r="Q13" s="15" t="s">
        <v>111</v>
      </c>
      <c r="R13" s="6">
        <v>12.2</v>
      </c>
      <c r="S13" s="16">
        <f>R13/20</f>
        <v>0.61</v>
      </c>
      <c r="T13" s="9"/>
      <c r="V13" s="3" t="s">
        <v>148</v>
      </c>
      <c r="W13" s="4"/>
      <c r="Y13" s="88">
        <f t="shared" si="0"/>
        <v>0</v>
      </c>
      <c r="Z13" s="88">
        <f t="shared" si="1"/>
        <v>0</v>
      </c>
      <c r="AA13" s="89">
        <f t="shared" si="2"/>
        <v>0</v>
      </c>
      <c r="AB13" s="89">
        <f t="shared" si="3"/>
        <v>0</v>
      </c>
      <c r="AC13" s="30">
        <f t="shared" si="4"/>
        <v>0</v>
      </c>
      <c r="AD13" s="30">
        <f t="shared" si="5"/>
        <v>0</v>
      </c>
    </row>
    <row r="14" spans="1:30" s="28" customFormat="1" ht="35.25" customHeight="1">
      <c r="A14" s="40" t="s">
        <v>74</v>
      </c>
      <c r="B14" s="14" t="s">
        <v>85</v>
      </c>
      <c r="C14" s="6">
        <v>9.3</v>
      </c>
      <c r="D14" s="46">
        <f>C14/10</f>
        <v>0.93</v>
      </c>
      <c r="E14" s="14" t="s">
        <v>103</v>
      </c>
      <c r="F14" s="5">
        <v>10.23</v>
      </c>
      <c r="G14" s="16">
        <f>F14/5</f>
        <v>2.0460000000000003</v>
      </c>
      <c r="H14" s="15" t="s">
        <v>111</v>
      </c>
      <c r="I14" s="6">
        <v>17.8</v>
      </c>
      <c r="J14" s="16">
        <f>I14/20</f>
        <v>0.89</v>
      </c>
      <c r="K14" s="15" t="s">
        <v>111</v>
      </c>
      <c r="L14" s="6">
        <v>22.8</v>
      </c>
      <c r="M14" s="16">
        <f>L14/20</f>
        <v>1.1400000000000001</v>
      </c>
      <c r="N14" s="15" t="s">
        <v>130</v>
      </c>
      <c r="O14" s="6">
        <v>19.38</v>
      </c>
      <c r="P14" s="16">
        <f>O14/10</f>
        <v>1.938</v>
      </c>
      <c r="Q14" s="15" t="s">
        <v>111</v>
      </c>
      <c r="R14" s="6">
        <v>35.52</v>
      </c>
      <c r="S14" s="16">
        <f>R14/20</f>
        <v>1.7760000000000002</v>
      </c>
      <c r="T14" s="9"/>
      <c r="V14" s="3" t="s">
        <v>148</v>
      </c>
      <c r="W14" s="4"/>
      <c r="Y14" s="88">
        <f t="shared" si="0"/>
        <v>0</v>
      </c>
      <c r="Z14" s="88">
        <f t="shared" si="1"/>
        <v>0</v>
      </c>
      <c r="AA14" s="89">
        <f t="shared" si="2"/>
        <v>0</v>
      </c>
      <c r="AB14" s="89">
        <f t="shared" si="3"/>
        <v>0</v>
      </c>
      <c r="AC14" s="30">
        <f t="shared" si="4"/>
        <v>0</v>
      </c>
      <c r="AD14" s="30">
        <f t="shared" si="5"/>
        <v>0</v>
      </c>
    </row>
    <row r="15" spans="1:30" s="28" customFormat="1" ht="36.75" customHeight="1">
      <c r="A15" s="40" t="s">
        <v>60</v>
      </c>
      <c r="B15" s="15" t="s">
        <v>86</v>
      </c>
      <c r="C15" s="6">
        <v>18.84</v>
      </c>
      <c r="D15" s="46">
        <f>C15/12</f>
        <v>1.57</v>
      </c>
      <c r="E15" s="14" t="s">
        <v>102</v>
      </c>
      <c r="F15" s="5">
        <v>1.73</v>
      </c>
      <c r="G15" s="16">
        <f>F15/1</f>
        <v>1.73</v>
      </c>
      <c r="H15" s="15" t="s">
        <v>112</v>
      </c>
      <c r="I15" s="6">
        <v>11.88</v>
      </c>
      <c r="J15" s="16">
        <f>I15/9</f>
        <v>1.32</v>
      </c>
      <c r="K15" s="15" t="s">
        <v>121</v>
      </c>
      <c r="L15" s="6">
        <v>7.2</v>
      </c>
      <c r="M15" s="16">
        <f>L15/4.5</f>
        <v>1.6</v>
      </c>
      <c r="N15" s="13" t="s">
        <v>126</v>
      </c>
      <c r="O15" s="6">
        <v>20.52</v>
      </c>
      <c r="P15" s="16">
        <f>O15/9</f>
        <v>2.28</v>
      </c>
      <c r="Q15" s="15" t="s">
        <v>112</v>
      </c>
      <c r="R15" s="6">
        <v>16.8</v>
      </c>
      <c r="S15" s="16">
        <f>R15/9</f>
        <v>1.8666666666666667</v>
      </c>
      <c r="T15" s="9"/>
      <c r="V15" s="3" t="s">
        <v>166</v>
      </c>
      <c r="W15" s="4"/>
      <c r="Y15" s="88">
        <f t="shared" si="0"/>
        <v>0</v>
      </c>
      <c r="Z15" s="88">
        <f t="shared" si="1"/>
        <v>0</v>
      </c>
      <c r="AA15" s="89">
        <f t="shared" si="2"/>
        <v>0</v>
      </c>
      <c r="AB15" s="89">
        <f t="shared" si="3"/>
        <v>0</v>
      </c>
      <c r="AC15" s="30">
        <f t="shared" si="4"/>
        <v>0</v>
      </c>
      <c r="AD15" s="30">
        <f t="shared" si="5"/>
        <v>0</v>
      </c>
    </row>
    <row r="16" spans="1:30" s="28" customFormat="1" ht="35.25" customHeight="1">
      <c r="A16" s="40" t="s">
        <v>75</v>
      </c>
      <c r="B16" s="14" t="s">
        <v>87</v>
      </c>
      <c r="C16" s="6">
        <v>13.6</v>
      </c>
      <c r="D16" s="46">
        <f>C16/20</f>
        <v>0.6799999999999999</v>
      </c>
      <c r="E16" s="14" t="s">
        <v>103</v>
      </c>
      <c r="F16" s="5">
        <v>2.89</v>
      </c>
      <c r="G16" s="31">
        <f>F16/5</f>
        <v>0.5780000000000001</v>
      </c>
      <c r="H16" s="15" t="s">
        <v>111</v>
      </c>
      <c r="I16" s="6">
        <v>12.6</v>
      </c>
      <c r="J16" s="16">
        <f>I16/20</f>
        <v>0.63</v>
      </c>
      <c r="K16" s="15" t="s">
        <v>111</v>
      </c>
      <c r="L16" s="6">
        <v>15.6</v>
      </c>
      <c r="M16" s="16">
        <f>L16/20</f>
        <v>0.78</v>
      </c>
      <c r="N16" s="15" t="s">
        <v>130</v>
      </c>
      <c r="O16" s="6">
        <v>17.38</v>
      </c>
      <c r="P16" s="16">
        <f>O16/10</f>
        <v>1.738</v>
      </c>
      <c r="Q16" s="15" t="s">
        <v>111</v>
      </c>
      <c r="R16" s="6">
        <v>15.52</v>
      </c>
      <c r="S16" s="31">
        <f>R16/20</f>
        <v>0.776</v>
      </c>
      <c r="T16" s="9"/>
      <c r="V16" s="3" t="s">
        <v>137</v>
      </c>
      <c r="W16" s="4"/>
      <c r="Y16" s="88">
        <f t="shared" si="0"/>
        <v>0</v>
      </c>
      <c r="Z16" s="88">
        <f t="shared" si="1"/>
        <v>0</v>
      </c>
      <c r="AA16" s="89">
        <f t="shared" si="2"/>
        <v>0</v>
      </c>
      <c r="AB16" s="89">
        <f t="shared" si="3"/>
        <v>0</v>
      </c>
      <c r="AC16" s="30">
        <f t="shared" si="4"/>
        <v>0</v>
      </c>
      <c r="AD16" s="30">
        <f t="shared" si="5"/>
        <v>0</v>
      </c>
    </row>
    <row r="17" spans="1:30" s="28" customFormat="1" ht="25.5" customHeight="1">
      <c r="A17" s="40" t="s">
        <v>61</v>
      </c>
      <c r="B17" s="15" t="s">
        <v>33</v>
      </c>
      <c r="C17" s="6">
        <v>0.45</v>
      </c>
      <c r="D17" s="46">
        <f>C17/1</f>
        <v>0.45</v>
      </c>
      <c r="E17" s="15" t="s">
        <v>33</v>
      </c>
      <c r="F17" s="5">
        <v>0.49</v>
      </c>
      <c r="G17" s="31">
        <f>F17/1</f>
        <v>0.49</v>
      </c>
      <c r="H17" s="15" t="s">
        <v>33</v>
      </c>
      <c r="I17" s="6">
        <v>0.52</v>
      </c>
      <c r="J17" s="16">
        <f>I17/1</f>
        <v>0.52</v>
      </c>
      <c r="K17" s="57" t="s">
        <v>122</v>
      </c>
      <c r="L17" s="58">
        <v>8.64</v>
      </c>
      <c r="M17" s="59">
        <f>L17/12</f>
        <v>0.7200000000000001</v>
      </c>
      <c r="N17" s="17" t="s">
        <v>33</v>
      </c>
      <c r="O17" s="6">
        <v>0.7</v>
      </c>
      <c r="P17" s="16">
        <f>O17/1</f>
        <v>0.7</v>
      </c>
      <c r="Q17" s="17" t="s">
        <v>132</v>
      </c>
      <c r="R17" s="6">
        <v>5.3</v>
      </c>
      <c r="S17" s="16">
        <f>R17/10</f>
        <v>0.53</v>
      </c>
      <c r="T17" s="9"/>
      <c r="V17" s="3"/>
      <c r="W17" s="4"/>
      <c r="Y17" s="88">
        <f t="shared" si="0"/>
        <v>0</v>
      </c>
      <c r="Z17" s="88">
        <f t="shared" si="1"/>
        <v>0</v>
      </c>
      <c r="AA17" s="89">
        <f t="shared" si="2"/>
        <v>0</v>
      </c>
      <c r="AB17" s="89">
        <f t="shared" si="3"/>
        <v>0</v>
      </c>
      <c r="AC17" s="30">
        <f t="shared" si="4"/>
        <v>0</v>
      </c>
      <c r="AD17" s="30">
        <f t="shared" si="5"/>
        <v>0</v>
      </c>
    </row>
    <row r="18" spans="1:30" s="28" customFormat="1" ht="15.75">
      <c r="A18" s="40" t="s">
        <v>62</v>
      </c>
      <c r="B18" s="15" t="s">
        <v>34</v>
      </c>
      <c r="C18" s="6">
        <v>3.5</v>
      </c>
      <c r="D18" s="46">
        <f>C18/100</f>
        <v>0.035</v>
      </c>
      <c r="E18" s="15" t="s">
        <v>34</v>
      </c>
      <c r="F18" s="5">
        <v>3.49</v>
      </c>
      <c r="G18" s="31">
        <f>F18/100</f>
        <v>0.0349</v>
      </c>
      <c r="H18" s="15" t="s">
        <v>34</v>
      </c>
      <c r="I18" s="6">
        <v>4.4</v>
      </c>
      <c r="J18" s="16">
        <f>I18/100</f>
        <v>0.044000000000000004</v>
      </c>
      <c r="K18" s="15" t="s">
        <v>34</v>
      </c>
      <c r="L18" s="6">
        <v>7</v>
      </c>
      <c r="M18" s="16">
        <f>L18/100</f>
        <v>0.07</v>
      </c>
      <c r="N18" s="15" t="s">
        <v>34</v>
      </c>
      <c r="O18" s="6">
        <v>5.2</v>
      </c>
      <c r="P18" s="16">
        <f>O18/100</f>
        <v>0.052000000000000005</v>
      </c>
      <c r="Q18" s="15" t="s">
        <v>34</v>
      </c>
      <c r="R18" s="6">
        <v>3.95</v>
      </c>
      <c r="S18" s="31">
        <f>R18/100</f>
        <v>0.0395</v>
      </c>
      <c r="T18" s="9"/>
      <c r="V18" s="3" t="s">
        <v>174</v>
      </c>
      <c r="W18" s="4"/>
      <c r="Y18" s="88">
        <f t="shared" si="0"/>
        <v>0</v>
      </c>
      <c r="Z18" s="88">
        <f t="shared" si="1"/>
        <v>0</v>
      </c>
      <c r="AA18" s="89">
        <f t="shared" si="2"/>
        <v>0</v>
      </c>
      <c r="AB18" s="89">
        <f t="shared" si="3"/>
        <v>0</v>
      </c>
      <c r="AC18" s="30">
        <f t="shared" si="4"/>
        <v>0</v>
      </c>
      <c r="AD18" s="30">
        <f t="shared" si="5"/>
        <v>0</v>
      </c>
    </row>
    <row r="19" spans="1:30" s="28" customFormat="1" ht="33.75" customHeight="1">
      <c r="A19" s="40" t="s">
        <v>23</v>
      </c>
      <c r="B19" s="15" t="s">
        <v>35</v>
      </c>
      <c r="C19" s="6">
        <v>11.55</v>
      </c>
      <c r="D19" s="46">
        <f>C19/5</f>
        <v>2.31</v>
      </c>
      <c r="E19" s="14" t="s">
        <v>36</v>
      </c>
      <c r="F19" s="5">
        <v>2.74</v>
      </c>
      <c r="G19" s="31">
        <f>F19/10</f>
        <v>0.274</v>
      </c>
      <c r="H19" s="14" t="s">
        <v>36</v>
      </c>
      <c r="I19" s="6">
        <v>11</v>
      </c>
      <c r="J19" s="16">
        <f>I19/10</f>
        <v>1.1</v>
      </c>
      <c r="K19" s="14" t="s">
        <v>35</v>
      </c>
      <c r="L19" s="6">
        <v>3</v>
      </c>
      <c r="M19" s="16">
        <f>L19/5</f>
        <v>0.6</v>
      </c>
      <c r="N19" s="14" t="s">
        <v>36</v>
      </c>
      <c r="O19" s="6">
        <v>31.7</v>
      </c>
      <c r="P19" s="16">
        <f>O19/10</f>
        <v>3.17</v>
      </c>
      <c r="Q19" s="14" t="s">
        <v>36</v>
      </c>
      <c r="R19" s="6">
        <v>5.7</v>
      </c>
      <c r="S19" s="16">
        <f>R19/10</f>
        <v>0.5700000000000001</v>
      </c>
      <c r="T19" s="9"/>
      <c r="V19" s="3" t="s">
        <v>40</v>
      </c>
      <c r="W19" s="4"/>
      <c r="Y19" s="88">
        <f t="shared" si="0"/>
        <v>0</v>
      </c>
      <c r="Z19" s="88">
        <f t="shared" si="1"/>
        <v>0</v>
      </c>
      <c r="AA19" s="89">
        <f t="shared" si="2"/>
        <v>0</v>
      </c>
      <c r="AB19" s="89">
        <f t="shared" si="3"/>
        <v>0</v>
      </c>
      <c r="AC19" s="30">
        <f t="shared" si="4"/>
        <v>0</v>
      </c>
      <c r="AD19" s="30">
        <f t="shared" si="5"/>
        <v>0</v>
      </c>
    </row>
    <row r="20" spans="1:30" s="28" customFormat="1" ht="15.75">
      <c r="A20" s="40" t="s">
        <v>12</v>
      </c>
      <c r="B20" s="14" t="s">
        <v>36</v>
      </c>
      <c r="C20" s="6">
        <v>4.2</v>
      </c>
      <c r="D20" s="46">
        <f>C20/10</f>
        <v>0.42000000000000004</v>
      </c>
      <c r="E20" s="15" t="s">
        <v>35</v>
      </c>
      <c r="F20" s="5">
        <v>3.47</v>
      </c>
      <c r="G20" s="16">
        <f>F20/5</f>
        <v>0.6940000000000001</v>
      </c>
      <c r="H20" s="14" t="s">
        <v>36</v>
      </c>
      <c r="I20" s="6">
        <v>6.1</v>
      </c>
      <c r="J20" s="16">
        <f>I20/10</f>
        <v>0.61</v>
      </c>
      <c r="K20" s="15" t="s">
        <v>36</v>
      </c>
      <c r="L20" s="6">
        <v>3.8</v>
      </c>
      <c r="M20" s="16">
        <f>L20/10</f>
        <v>0.38</v>
      </c>
      <c r="N20" s="15" t="s">
        <v>35</v>
      </c>
      <c r="O20" s="6">
        <v>12.5</v>
      </c>
      <c r="P20" s="16">
        <f>O20/5</f>
        <v>2.5</v>
      </c>
      <c r="Q20" s="15" t="s">
        <v>34</v>
      </c>
      <c r="R20" s="6">
        <v>10.95</v>
      </c>
      <c r="S20" s="31">
        <f>R20/100</f>
        <v>0.10949999999999999</v>
      </c>
      <c r="T20" s="9"/>
      <c r="V20" s="3"/>
      <c r="W20" s="4"/>
      <c r="Y20" s="88">
        <f t="shared" si="0"/>
        <v>0</v>
      </c>
      <c r="Z20" s="88">
        <f t="shared" si="1"/>
        <v>0</v>
      </c>
      <c r="AA20" s="89">
        <f t="shared" si="2"/>
        <v>0</v>
      </c>
      <c r="AB20" s="89">
        <f t="shared" si="3"/>
        <v>0</v>
      </c>
      <c r="AC20" s="30">
        <f t="shared" si="4"/>
        <v>0</v>
      </c>
      <c r="AD20" s="30">
        <f t="shared" si="5"/>
        <v>0</v>
      </c>
    </row>
    <row r="21" spans="1:30" s="28" customFormat="1" ht="19.5" customHeight="1">
      <c r="A21" s="40" t="s">
        <v>13</v>
      </c>
      <c r="B21" s="15" t="s">
        <v>38</v>
      </c>
      <c r="C21" s="6">
        <v>4.06</v>
      </c>
      <c r="D21" s="46">
        <f>C21/1</f>
        <v>4.06</v>
      </c>
      <c r="E21" s="15" t="s">
        <v>38</v>
      </c>
      <c r="F21" s="5">
        <v>3.47</v>
      </c>
      <c r="G21" s="16">
        <f>F21/1</f>
        <v>3.47</v>
      </c>
      <c r="H21" s="14" t="s">
        <v>38</v>
      </c>
      <c r="I21" s="6">
        <v>3.9</v>
      </c>
      <c r="J21" s="16">
        <f>I21/1</f>
        <v>3.9</v>
      </c>
      <c r="K21" s="14" t="s">
        <v>38</v>
      </c>
      <c r="L21" s="6">
        <v>3.9</v>
      </c>
      <c r="M21" s="16">
        <f>L21/1</f>
        <v>3.9</v>
      </c>
      <c r="N21" s="14" t="s">
        <v>38</v>
      </c>
      <c r="O21" s="6">
        <v>4.78</v>
      </c>
      <c r="P21" s="16">
        <f>O21/1</f>
        <v>4.78</v>
      </c>
      <c r="Q21" s="14" t="s">
        <v>38</v>
      </c>
      <c r="R21" s="6">
        <v>3.99</v>
      </c>
      <c r="S21" s="16">
        <f>R21/1</f>
        <v>3.99</v>
      </c>
      <c r="T21" s="9"/>
      <c r="V21" s="3"/>
      <c r="W21" s="4"/>
      <c r="Y21" s="88">
        <f t="shared" si="0"/>
        <v>0</v>
      </c>
      <c r="Z21" s="88">
        <f t="shared" si="1"/>
        <v>0</v>
      </c>
      <c r="AA21" s="89">
        <f t="shared" si="2"/>
        <v>0</v>
      </c>
      <c r="AB21" s="89">
        <f t="shared" si="3"/>
        <v>0</v>
      </c>
      <c r="AC21" s="30">
        <f t="shared" si="4"/>
        <v>0</v>
      </c>
      <c r="AD21" s="30">
        <f t="shared" si="5"/>
        <v>0</v>
      </c>
    </row>
    <row r="22" spans="1:30" s="28" customFormat="1" ht="15.75">
      <c r="A22" s="40" t="s">
        <v>14</v>
      </c>
      <c r="B22" s="14" t="s">
        <v>38</v>
      </c>
      <c r="C22" s="6">
        <v>0.37</v>
      </c>
      <c r="D22" s="46">
        <f>C22/1</f>
        <v>0.37</v>
      </c>
      <c r="E22" s="14" t="s">
        <v>38</v>
      </c>
      <c r="F22" s="5">
        <v>0.93</v>
      </c>
      <c r="G22" s="16">
        <f>F22/1</f>
        <v>0.93</v>
      </c>
      <c r="H22" s="14" t="s">
        <v>113</v>
      </c>
      <c r="I22" s="6">
        <v>1.22</v>
      </c>
      <c r="J22" s="16">
        <f>I22/1</f>
        <v>1.22</v>
      </c>
      <c r="K22" s="14" t="s">
        <v>38</v>
      </c>
      <c r="L22" s="6">
        <v>1</v>
      </c>
      <c r="M22" s="16">
        <f>L22/1</f>
        <v>1</v>
      </c>
      <c r="N22" s="14" t="s">
        <v>38</v>
      </c>
      <c r="O22" s="6">
        <v>1.05</v>
      </c>
      <c r="P22" s="16">
        <f>O22/1</f>
        <v>1.05</v>
      </c>
      <c r="Q22" s="14" t="s">
        <v>37</v>
      </c>
      <c r="R22" s="6">
        <v>24.75</v>
      </c>
      <c r="S22" s="16">
        <f>R22/25</f>
        <v>0.99</v>
      </c>
      <c r="T22" s="9"/>
      <c r="V22" s="3" t="s">
        <v>40</v>
      </c>
      <c r="W22" s="4"/>
      <c r="Y22" s="88">
        <f t="shared" si="0"/>
        <v>0</v>
      </c>
      <c r="Z22" s="88">
        <f t="shared" si="1"/>
        <v>0</v>
      </c>
      <c r="AA22" s="89">
        <f t="shared" si="2"/>
        <v>0</v>
      </c>
      <c r="AB22" s="89">
        <f t="shared" si="3"/>
        <v>0</v>
      </c>
      <c r="AC22" s="30">
        <f t="shared" si="4"/>
        <v>0</v>
      </c>
      <c r="AD22" s="30">
        <f t="shared" si="5"/>
        <v>0</v>
      </c>
    </row>
    <row r="23" spans="1:30" s="28" customFormat="1" ht="19.5" customHeight="1">
      <c r="A23" s="40" t="s">
        <v>24</v>
      </c>
      <c r="B23" s="15" t="s">
        <v>38</v>
      </c>
      <c r="C23" s="6">
        <v>1.9</v>
      </c>
      <c r="D23" s="46">
        <f>C23/1</f>
        <v>1.9</v>
      </c>
      <c r="E23" s="15" t="s">
        <v>38</v>
      </c>
      <c r="F23" s="5">
        <v>1.7</v>
      </c>
      <c r="G23" s="16">
        <f>F23/1</f>
        <v>1.7</v>
      </c>
      <c r="H23" s="15" t="s">
        <v>38</v>
      </c>
      <c r="I23" s="6">
        <v>1.88</v>
      </c>
      <c r="J23" s="16">
        <f>I23/1</f>
        <v>1.88</v>
      </c>
      <c r="K23" s="14" t="s">
        <v>38</v>
      </c>
      <c r="L23" s="6">
        <v>1.88</v>
      </c>
      <c r="M23" s="16">
        <f>L23/1</f>
        <v>1.88</v>
      </c>
      <c r="N23" s="14" t="s">
        <v>38</v>
      </c>
      <c r="O23" s="6">
        <v>2.45</v>
      </c>
      <c r="P23" s="16">
        <f>O23/1</f>
        <v>2.45</v>
      </c>
      <c r="Q23" s="14" t="s">
        <v>38</v>
      </c>
      <c r="R23" s="6">
        <v>1.79</v>
      </c>
      <c r="S23" s="16">
        <f>R23/1</f>
        <v>1.79</v>
      </c>
      <c r="T23" s="9"/>
      <c r="V23" s="3"/>
      <c r="W23" s="4"/>
      <c r="Y23" s="88">
        <f t="shared" si="0"/>
        <v>0</v>
      </c>
      <c r="Z23" s="88">
        <f t="shared" si="1"/>
        <v>0</v>
      </c>
      <c r="AA23" s="89">
        <f t="shared" si="2"/>
        <v>0</v>
      </c>
      <c r="AB23" s="89">
        <f t="shared" si="3"/>
        <v>0</v>
      </c>
      <c r="AC23" s="30">
        <f t="shared" si="4"/>
        <v>0</v>
      </c>
      <c r="AD23" s="30">
        <f t="shared" si="5"/>
        <v>0</v>
      </c>
    </row>
    <row r="24" spans="1:30" s="28" customFormat="1" ht="21" customHeight="1">
      <c r="A24" s="40" t="s">
        <v>6</v>
      </c>
      <c r="B24" s="15" t="s">
        <v>38</v>
      </c>
      <c r="C24" s="6">
        <v>0.9</v>
      </c>
      <c r="D24" s="46">
        <f>C24/1</f>
        <v>0.9</v>
      </c>
      <c r="E24" s="15" t="s">
        <v>38</v>
      </c>
      <c r="F24" s="5">
        <v>1.67</v>
      </c>
      <c r="G24" s="16">
        <f>F24/1</f>
        <v>1.67</v>
      </c>
      <c r="H24" s="15" t="s">
        <v>38</v>
      </c>
      <c r="I24" s="6">
        <v>1.35</v>
      </c>
      <c r="J24" s="16">
        <f>I24/1</f>
        <v>1.35</v>
      </c>
      <c r="K24" s="14" t="s">
        <v>38</v>
      </c>
      <c r="L24" s="6">
        <v>1.45</v>
      </c>
      <c r="M24" s="16">
        <f>L24/1</f>
        <v>1.45</v>
      </c>
      <c r="N24" s="14" t="s">
        <v>38</v>
      </c>
      <c r="O24" s="6">
        <v>3.8</v>
      </c>
      <c r="P24" s="31">
        <f>O24/1</f>
        <v>3.8</v>
      </c>
      <c r="Q24" s="14" t="s">
        <v>38</v>
      </c>
      <c r="R24" s="6">
        <v>1.58</v>
      </c>
      <c r="S24" s="16">
        <f>R24/1</f>
        <v>1.58</v>
      </c>
      <c r="T24" s="9"/>
      <c r="V24" s="3" t="s">
        <v>35</v>
      </c>
      <c r="W24" s="4"/>
      <c r="Y24" s="88">
        <f t="shared" si="0"/>
        <v>0</v>
      </c>
      <c r="Z24" s="88">
        <f t="shared" si="1"/>
        <v>0</v>
      </c>
      <c r="AA24" s="89">
        <f t="shared" si="2"/>
        <v>0</v>
      </c>
      <c r="AB24" s="89">
        <f t="shared" si="3"/>
        <v>0</v>
      </c>
      <c r="AC24" s="30">
        <f t="shared" si="4"/>
        <v>0</v>
      </c>
      <c r="AD24" s="30">
        <f t="shared" si="5"/>
        <v>0</v>
      </c>
    </row>
    <row r="25" spans="1:30" s="28" customFormat="1" ht="20.25" customHeight="1">
      <c r="A25" s="40" t="s">
        <v>7</v>
      </c>
      <c r="B25" s="15" t="s">
        <v>41</v>
      </c>
      <c r="C25" s="6">
        <v>23.7</v>
      </c>
      <c r="D25" s="47">
        <f>C25/1000</f>
        <v>0.0237</v>
      </c>
      <c r="E25" s="15" t="s">
        <v>40</v>
      </c>
      <c r="F25" s="5">
        <v>0.4</v>
      </c>
      <c r="G25" s="16">
        <f>F25/20</f>
        <v>0.02</v>
      </c>
      <c r="H25" s="15" t="s">
        <v>41</v>
      </c>
      <c r="I25" s="6">
        <v>28</v>
      </c>
      <c r="J25" s="16">
        <f>I25/1000</f>
        <v>0.028</v>
      </c>
      <c r="K25" s="15" t="s">
        <v>50</v>
      </c>
      <c r="L25" s="6">
        <v>0.86</v>
      </c>
      <c r="M25" s="16">
        <f>L25/20</f>
        <v>0.043</v>
      </c>
      <c r="N25" s="15" t="s">
        <v>50</v>
      </c>
      <c r="O25" s="6">
        <v>0.7</v>
      </c>
      <c r="P25" s="16">
        <f>O25/20</f>
        <v>0.034999999999999996</v>
      </c>
      <c r="Q25" s="15" t="s">
        <v>133</v>
      </c>
      <c r="R25" s="6">
        <v>1.22</v>
      </c>
      <c r="S25" s="16">
        <f>R25/50</f>
        <v>0.024399999999999998</v>
      </c>
      <c r="T25" s="9"/>
      <c r="V25" s="3" t="s">
        <v>151</v>
      </c>
      <c r="W25" s="4"/>
      <c r="Y25" s="88">
        <f t="shared" si="0"/>
        <v>0</v>
      </c>
      <c r="Z25" s="88">
        <f t="shared" si="1"/>
        <v>0</v>
      </c>
      <c r="AA25" s="89">
        <f t="shared" si="2"/>
        <v>0</v>
      </c>
      <c r="AB25" s="89">
        <f t="shared" si="3"/>
        <v>0</v>
      </c>
      <c r="AC25" s="30">
        <f t="shared" si="4"/>
        <v>0</v>
      </c>
      <c r="AD25" s="30">
        <f t="shared" si="5"/>
        <v>0</v>
      </c>
    </row>
    <row r="26" spans="1:30" s="28" customFormat="1" ht="23.25" customHeight="1">
      <c r="A26" s="40" t="s">
        <v>8</v>
      </c>
      <c r="B26" s="37" t="s">
        <v>88</v>
      </c>
      <c r="C26" s="6">
        <v>23.7</v>
      </c>
      <c r="D26" s="46">
        <f>C26/300</f>
        <v>0.079</v>
      </c>
      <c r="E26" s="57" t="s">
        <v>104</v>
      </c>
      <c r="F26" s="5">
        <v>1.44</v>
      </c>
      <c r="G26" s="16">
        <f>F26/10</f>
        <v>0.144</v>
      </c>
      <c r="H26" s="37" t="s">
        <v>114</v>
      </c>
      <c r="I26" s="6">
        <v>22.8</v>
      </c>
      <c r="J26" s="16">
        <f>I26/300</f>
        <v>0.076</v>
      </c>
      <c r="K26" s="15" t="s">
        <v>51</v>
      </c>
      <c r="L26" s="6">
        <v>1.02</v>
      </c>
      <c r="M26" s="16">
        <f>L26/10</f>
        <v>0.10200000000000001</v>
      </c>
      <c r="N26" s="15" t="s">
        <v>131</v>
      </c>
      <c r="O26" s="6">
        <v>41.6</v>
      </c>
      <c r="P26" s="16">
        <f>O26/260</f>
        <v>0.16</v>
      </c>
      <c r="Q26" s="15" t="s">
        <v>50</v>
      </c>
      <c r="R26" s="6">
        <v>1.99</v>
      </c>
      <c r="S26" s="16">
        <f>R26/20</f>
        <v>0.0995</v>
      </c>
      <c r="T26" s="9"/>
      <c r="V26" s="3" t="s">
        <v>150</v>
      </c>
      <c r="W26" s="4"/>
      <c r="Y26" s="88">
        <f t="shared" si="0"/>
        <v>0</v>
      </c>
      <c r="Z26" s="88">
        <f t="shared" si="1"/>
        <v>0</v>
      </c>
      <c r="AA26" s="89">
        <f t="shared" si="2"/>
        <v>0</v>
      </c>
      <c r="AB26" s="89">
        <f t="shared" si="3"/>
        <v>0</v>
      </c>
      <c r="AC26" s="30">
        <f t="shared" si="4"/>
        <v>0</v>
      </c>
      <c r="AD26" s="30">
        <f t="shared" si="5"/>
        <v>0</v>
      </c>
    </row>
    <row r="27" spans="1:30" s="28" customFormat="1" ht="47.25">
      <c r="A27" s="40" t="s">
        <v>25</v>
      </c>
      <c r="B27" s="15" t="s">
        <v>89</v>
      </c>
      <c r="C27" s="6">
        <v>1.16</v>
      </c>
      <c r="D27" s="46">
        <f>C27/10</f>
        <v>0.11599999999999999</v>
      </c>
      <c r="E27" s="17" t="s">
        <v>42</v>
      </c>
      <c r="F27" s="5">
        <v>0.81</v>
      </c>
      <c r="G27" s="16">
        <f>F27/10</f>
        <v>0.081</v>
      </c>
      <c r="H27" s="15" t="s">
        <v>115</v>
      </c>
      <c r="I27" s="6">
        <v>0.98</v>
      </c>
      <c r="J27" s="16">
        <f>I27/10</f>
        <v>0.098</v>
      </c>
      <c r="K27" s="15" t="s">
        <v>115</v>
      </c>
      <c r="L27" s="6">
        <v>1.5</v>
      </c>
      <c r="M27" s="16">
        <f>L27/10</f>
        <v>0.15</v>
      </c>
      <c r="N27" s="15" t="s">
        <v>115</v>
      </c>
      <c r="O27" s="6">
        <v>1.9</v>
      </c>
      <c r="P27" s="16">
        <f>O27/10</f>
        <v>0.19</v>
      </c>
      <c r="Q27" s="15" t="s">
        <v>115</v>
      </c>
      <c r="R27" s="6">
        <v>1.59</v>
      </c>
      <c r="S27" s="16">
        <f>R27/10</f>
        <v>0.159</v>
      </c>
      <c r="T27" s="9"/>
      <c r="V27" s="3" t="s">
        <v>53</v>
      </c>
      <c r="W27" s="4"/>
      <c r="Y27" s="88">
        <f t="shared" si="0"/>
        <v>0</v>
      </c>
      <c r="Z27" s="88">
        <f t="shared" si="1"/>
        <v>0</v>
      </c>
      <c r="AA27" s="89">
        <f t="shared" si="2"/>
        <v>0</v>
      </c>
      <c r="AB27" s="89">
        <f t="shared" si="3"/>
        <v>0</v>
      </c>
      <c r="AC27" s="30">
        <f t="shared" si="4"/>
        <v>0</v>
      </c>
      <c r="AD27" s="30">
        <f t="shared" si="5"/>
        <v>0</v>
      </c>
    </row>
    <row r="28" spans="1:30" s="28" customFormat="1" ht="47.25">
      <c r="A28" s="40" t="s">
        <v>26</v>
      </c>
      <c r="B28" s="15" t="s">
        <v>89</v>
      </c>
      <c r="C28" s="6">
        <v>1.16</v>
      </c>
      <c r="D28" s="46">
        <f>C28/10</f>
        <v>0.11599999999999999</v>
      </c>
      <c r="E28" s="17" t="s">
        <v>42</v>
      </c>
      <c r="F28" s="5">
        <v>1.37</v>
      </c>
      <c r="G28" s="16">
        <f>F28/10</f>
        <v>0.137</v>
      </c>
      <c r="H28" s="15" t="s">
        <v>115</v>
      </c>
      <c r="I28" s="6">
        <v>0.94</v>
      </c>
      <c r="J28" s="16">
        <f>I28/10</f>
        <v>0.094</v>
      </c>
      <c r="K28" s="15" t="s">
        <v>115</v>
      </c>
      <c r="L28" s="6">
        <v>1.29</v>
      </c>
      <c r="M28" s="16">
        <f>L28/10</f>
        <v>0.129</v>
      </c>
      <c r="N28" s="15" t="s">
        <v>115</v>
      </c>
      <c r="O28" s="6">
        <v>1.74</v>
      </c>
      <c r="P28" s="16">
        <f>O28/10</f>
        <v>0.174</v>
      </c>
      <c r="Q28" s="15" t="s">
        <v>115</v>
      </c>
      <c r="R28" s="61">
        <v>1.155</v>
      </c>
      <c r="S28" s="31">
        <f>R28/10</f>
        <v>0.1155</v>
      </c>
      <c r="T28" s="9"/>
      <c r="V28" s="3"/>
      <c r="W28" s="4"/>
      <c r="Y28" s="88">
        <f t="shared" si="0"/>
        <v>0</v>
      </c>
      <c r="Z28" s="88">
        <f t="shared" si="1"/>
        <v>0</v>
      </c>
      <c r="AA28" s="89">
        <f t="shared" si="2"/>
        <v>0</v>
      </c>
      <c r="AB28" s="89">
        <f t="shared" si="3"/>
        <v>0</v>
      </c>
      <c r="AC28" s="30">
        <f t="shared" si="4"/>
        <v>0</v>
      </c>
      <c r="AD28" s="30">
        <f t="shared" si="5"/>
        <v>0</v>
      </c>
    </row>
    <row r="29" spans="1:30" s="28" customFormat="1" ht="72.75" customHeight="1">
      <c r="A29" s="41" t="s">
        <v>83</v>
      </c>
      <c r="B29" s="15" t="s">
        <v>91</v>
      </c>
      <c r="C29" s="6">
        <v>5.1</v>
      </c>
      <c r="D29" s="46">
        <f>C29/2</f>
        <v>2.55</v>
      </c>
      <c r="E29" s="14" t="s">
        <v>54</v>
      </c>
      <c r="F29" s="5">
        <v>5.76</v>
      </c>
      <c r="G29" s="16">
        <f>F29/2</f>
        <v>2.88</v>
      </c>
      <c r="H29" s="15" t="s">
        <v>54</v>
      </c>
      <c r="I29" s="6">
        <v>5.38</v>
      </c>
      <c r="J29" s="16">
        <f>I29/2</f>
        <v>2.69</v>
      </c>
      <c r="K29" s="15" t="s">
        <v>55</v>
      </c>
      <c r="L29" s="6">
        <v>5.6</v>
      </c>
      <c r="M29" s="16">
        <f>L29/2</f>
        <v>2.8</v>
      </c>
      <c r="N29" s="15" t="s">
        <v>55</v>
      </c>
      <c r="O29" s="6">
        <v>9.02</v>
      </c>
      <c r="P29" s="16">
        <f>O29/2</f>
        <v>4.51</v>
      </c>
      <c r="Q29" s="15" t="s">
        <v>55</v>
      </c>
      <c r="R29" s="6">
        <v>7.99</v>
      </c>
      <c r="S29" s="31">
        <f>R29/2</f>
        <v>3.995</v>
      </c>
      <c r="T29" s="9"/>
      <c r="V29" s="3"/>
      <c r="W29" s="4"/>
      <c r="Y29" s="88">
        <f t="shared" si="0"/>
        <v>0</v>
      </c>
      <c r="Z29" s="88">
        <f t="shared" si="1"/>
        <v>0</v>
      </c>
      <c r="AA29" s="89">
        <f t="shared" si="2"/>
        <v>0</v>
      </c>
      <c r="AB29" s="89">
        <f t="shared" si="3"/>
        <v>0</v>
      </c>
      <c r="AC29" s="30">
        <f t="shared" si="4"/>
        <v>0</v>
      </c>
      <c r="AD29" s="30">
        <f t="shared" si="5"/>
        <v>0</v>
      </c>
    </row>
    <row r="30" spans="1:30" s="28" customFormat="1" ht="69" customHeight="1">
      <c r="A30" s="41" t="s">
        <v>90</v>
      </c>
      <c r="B30" s="15" t="s">
        <v>92</v>
      </c>
      <c r="C30" s="6">
        <v>5.1</v>
      </c>
      <c r="D30" s="46">
        <f>C30/2</f>
        <v>2.55</v>
      </c>
      <c r="E30" s="14" t="s">
        <v>54</v>
      </c>
      <c r="F30" s="5">
        <v>5.76</v>
      </c>
      <c r="G30" s="16">
        <f>F30/2</f>
        <v>2.88</v>
      </c>
      <c r="H30" s="15" t="s">
        <v>54</v>
      </c>
      <c r="I30" s="6">
        <v>4.98</v>
      </c>
      <c r="J30" s="16">
        <f>I30/2</f>
        <v>2.49</v>
      </c>
      <c r="K30" s="15" t="s">
        <v>55</v>
      </c>
      <c r="L30" s="6">
        <v>6.2</v>
      </c>
      <c r="M30" s="16">
        <f>L30/2</f>
        <v>3.1</v>
      </c>
      <c r="N30" s="15" t="s">
        <v>55</v>
      </c>
      <c r="O30" s="6">
        <v>6.98</v>
      </c>
      <c r="P30" s="16">
        <f>O30/2</f>
        <v>3.49</v>
      </c>
      <c r="Q30" s="15" t="s">
        <v>55</v>
      </c>
      <c r="R30" s="6">
        <v>6.1</v>
      </c>
      <c r="S30" s="16">
        <f>R30/2</f>
        <v>3.05</v>
      </c>
      <c r="T30" s="29"/>
      <c r="V30" s="30" t="s">
        <v>175</v>
      </c>
      <c r="W30" s="4">
        <v>40</v>
      </c>
      <c r="Y30" s="88">
        <f t="shared" si="0"/>
        <v>102</v>
      </c>
      <c r="Z30" s="88">
        <f t="shared" si="1"/>
        <v>115.19999999999999</v>
      </c>
      <c r="AA30" s="89">
        <f t="shared" si="2"/>
        <v>99.60000000000001</v>
      </c>
      <c r="AB30" s="89">
        <f t="shared" si="3"/>
        <v>124</v>
      </c>
      <c r="AC30" s="30">
        <f t="shared" si="4"/>
        <v>139.60000000000002</v>
      </c>
      <c r="AD30" s="30">
        <f t="shared" si="5"/>
        <v>122</v>
      </c>
    </row>
    <row r="31" spans="1:30" s="28" customFormat="1" ht="15.75">
      <c r="A31" s="40" t="s">
        <v>9</v>
      </c>
      <c r="B31" s="15" t="s">
        <v>38</v>
      </c>
      <c r="C31" s="7">
        <v>0.91</v>
      </c>
      <c r="D31" s="48">
        <f>C31/1</f>
        <v>0.91</v>
      </c>
      <c r="E31" s="20" t="s">
        <v>38</v>
      </c>
      <c r="F31" s="5">
        <v>0.78</v>
      </c>
      <c r="G31" s="16">
        <f>F31/1</f>
        <v>0.78</v>
      </c>
      <c r="H31" s="20" t="s">
        <v>38</v>
      </c>
      <c r="I31" s="5">
        <v>1.3</v>
      </c>
      <c r="J31" s="16">
        <f>I31/1</f>
        <v>1.3</v>
      </c>
      <c r="K31" s="20" t="s">
        <v>38</v>
      </c>
      <c r="L31" s="5">
        <v>1.9</v>
      </c>
      <c r="M31" s="16">
        <f>L31/1</f>
        <v>1.9</v>
      </c>
      <c r="N31" s="20" t="s">
        <v>38</v>
      </c>
      <c r="O31" s="5">
        <v>2.35</v>
      </c>
      <c r="P31" s="16">
        <f>O31/1</f>
        <v>2.35</v>
      </c>
      <c r="Q31" s="20" t="s">
        <v>38</v>
      </c>
      <c r="R31" s="5">
        <v>0.78</v>
      </c>
      <c r="S31" s="16">
        <f>R31/1</f>
        <v>0.78</v>
      </c>
      <c r="T31" s="29"/>
      <c r="V31" s="30" t="s">
        <v>40</v>
      </c>
      <c r="W31" s="4"/>
      <c r="Y31" s="88">
        <f t="shared" si="0"/>
        <v>0</v>
      </c>
      <c r="Z31" s="88">
        <f t="shared" si="1"/>
        <v>0</v>
      </c>
      <c r="AA31" s="89">
        <f t="shared" si="2"/>
        <v>0</v>
      </c>
      <c r="AB31" s="89">
        <f t="shared" si="3"/>
        <v>0</v>
      </c>
      <c r="AC31" s="30">
        <f t="shared" si="4"/>
        <v>0</v>
      </c>
      <c r="AD31" s="30">
        <f t="shared" si="5"/>
        <v>0</v>
      </c>
    </row>
    <row r="32" spans="1:30" s="28" customFormat="1" ht="15.75">
      <c r="A32" s="40" t="s">
        <v>10</v>
      </c>
      <c r="B32" s="15" t="s">
        <v>38</v>
      </c>
      <c r="C32" s="7">
        <v>0.92</v>
      </c>
      <c r="D32" s="48">
        <f>C32/1</f>
        <v>0.92</v>
      </c>
      <c r="E32" s="20" t="s">
        <v>38</v>
      </c>
      <c r="F32" s="5">
        <v>0.78</v>
      </c>
      <c r="G32" s="16">
        <f>F32/1</f>
        <v>0.78</v>
      </c>
      <c r="H32" s="20" t="s">
        <v>38</v>
      </c>
      <c r="I32" s="5">
        <v>1.59</v>
      </c>
      <c r="J32" s="16">
        <f>I32/1</f>
        <v>1.59</v>
      </c>
      <c r="K32" s="20" t="s">
        <v>38</v>
      </c>
      <c r="L32" s="5">
        <v>1.3</v>
      </c>
      <c r="M32" s="16">
        <f>L32/1</f>
        <v>1.3</v>
      </c>
      <c r="N32" s="20" t="s">
        <v>38</v>
      </c>
      <c r="O32" s="5">
        <v>4.5</v>
      </c>
      <c r="P32" s="16">
        <f>O32/1</f>
        <v>4.5</v>
      </c>
      <c r="Q32" s="20" t="s">
        <v>38</v>
      </c>
      <c r="R32" s="5">
        <v>1.74</v>
      </c>
      <c r="S32" s="16">
        <f>R32/1</f>
        <v>1.74</v>
      </c>
      <c r="V32" s="30"/>
      <c r="W32" s="4"/>
      <c r="Y32" s="88">
        <f t="shared" si="0"/>
        <v>0</v>
      </c>
      <c r="Z32" s="88">
        <f t="shared" si="1"/>
        <v>0</v>
      </c>
      <c r="AA32" s="89">
        <f t="shared" si="2"/>
        <v>0</v>
      </c>
      <c r="AB32" s="89">
        <f t="shared" si="3"/>
        <v>0</v>
      </c>
      <c r="AC32" s="30">
        <f t="shared" si="4"/>
        <v>0</v>
      </c>
      <c r="AD32" s="30">
        <f t="shared" si="5"/>
        <v>0</v>
      </c>
    </row>
    <row r="33" spans="1:30" s="28" customFormat="1" ht="15.75">
      <c r="A33" s="40" t="s">
        <v>15</v>
      </c>
      <c r="B33" s="15" t="s">
        <v>93</v>
      </c>
      <c r="C33" s="7">
        <v>0.34</v>
      </c>
      <c r="D33" s="49">
        <f>C33/3</f>
        <v>0.11333333333333334</v>
      </c>
      <c r="E33" s="20" t="s">
        <v>40</v>
      </c>
      <c r="F33" s="5">
        <v>3.39</v>
      </c>
      <c r="G33" s="16">
        <f>F33/20</f>
        <v>0.1695</v>
      </c>
      <c r="H33" s="15" t="s">
        <v>93</v>
      </c>
      <c r="I33" s="54">
        <v>0.417</v>
      </c>
      <c r="J33" s="16">
        <f>I33/3</f>
        <v>0.13899999999999998</v>
      </c>
      <c r="K33" s="15" t="s">
        <v>93</v>
      </c>
      <c r="L33" s="5">
        <v>0.7</v>
      </c>
      <c r="M33" s="16">
        <f>L33/3</f>
        <v>0.2333333333333333</v>
      </c>
      <c r="N33" s="15" t="s">
        <v>43</v>
      </c>
      <c r="O33" s="5">
        <v>4.99</v>
      </c>
      <c r="P33" s="16">
        <f>O33/15</f>
        <v>0.33266666666666667</v>
      </c>
      <c r="Q33" s="15" t="s">
        <v>36</v>
      </c>
      <c r="R33" s="5">
        <v>1.9</v>
      </c>
      <c r="S33" s="16">
        <f>R33/10</f>
        <v>0.19</v>
      </c>
      <c r="V33" s="30"/>
      <c r="W33" s="4"/>
      <c r="Y33" s="88">
        <f t="shared" si="0"/>
        <v>0</v>
      </c>
      <c r="Z33" s="88">
        <f t="shared" si="1"/>
        <v>0</v>
      </c>
      <c r="AA33" s="89">
        <f t="shared" si="2"/>
        <v>0</v>
      </c>
      <c r="AB33" s="89">
        <f t="shared" si="3"/>
        <v>0</v>
      </c>
      <c r="AC33" s="30">
        <f t="shared" si="4"/>
        <v>0</v>
      </c>
      <c r="AD33" s="30">
        <f t="shared" si="5"/>
        <v>0</v>
      </c>
    </row>
    <row r="34" spans="1:30" s="28" customFormat="1" ht="15.75">
      <c r="A34" s="40" t="s">
        <v>16</v>
      </c>
      <c r="B34" s="14" t="s">
        <v>38</v>
      </c>
      <c r="C34" s="7">
        <v>6.45</v>
      </c>
      <c r="D34" s="50">
        <f aca="true" t="shared" si="6" ref="D34:D46">C34/1</f>
        <v>6.45</v>
      </c>
      <c r="E34" s="20" t="s">
        <v>38</v>
      </c>
      <c r="F34" s="5">
        <v>5.3</v>
      </c>
      <c r="G34" s="16">
        <f aca="true" t="shared" si="7" ref="G34:G46">F34/1</f>
        <v>5.3</v>
      </c>
      <c r="H34" s="20" t="s">
        <v>116</v>
      </c>
      <c r="I34" s="5">
        <v>3.89</v>
      </c>
      <c r="J34" s="16">
        <f aca="true" t="shared" si="8" ref="J34:J46">I34/1</f>
        <v>3.89</v>
      </c>
      <c r="K34" s="20" t="s">
        <v>38</v>
      </c>
      <c r="L34" s="5">
        <v>2.1</v>
      </c>
      <c r="M34" s="16">
        <f aca="true" t="shared" si="9" ref="M34:M46">L34/1</f>
        <v>2.1</v>
      </c>
      <c r="N34" s="20" t="s">
        <v>38</v>
      </c>
      <c r="O34" s="5">
        <v>7.4</v>
      </c>
      <c r="P34" s="16">
        <f aca="true" t="shared" si="10" ref="P34:P46">O34/1</f>
        <v>7.4</v>
      </c>
      <c r="Q34" s="20" t="s">
        <v>38</v>
      </c>
      <c r="R34" s="5">
        <v>5.36</v>
      </c>
      <c r="S34" s="16">
        <f aca="true" t="shared" si="11" ref="S34:S46">R34/1</f>
        <v>5.36</v>
      </c>
      <c r="V34" s="30"/>
      <c r="W34" s="4"/>
      <c r="Y34" s="88">
        <f t="shared" si="0"/>
        <v>0</v>
      </c>
      <c r="Z34" s="88">
        <f t="shared" si="1"/>
        <v>0</v>
      </c>
      <c r="AA34" s="89">
        <f t="shared" si="2"/>
        <v>0</v>
      </c>
      <c r="AB34" s="89">
        <f t="shared" si="3"/>
        <v>0</v>
      </c>
      <c r="AC34" s="30">
        <f t="shared" si="4"/>
        <v>0</v>
      </c>
      <c r="AD34" s="30">
        <f t="shared" si="5"/>
        <v>0</v>
      </c>
    </row>
    <row r="35" spans="1:30" s="28" customFormat="1" ht="15.75">
      <c r="A35" s="40" t="s">
        <v>63</v>
      </c>
      <c r="B35" s="15" t="s">
        <v>38</v>
      </c>
      <c r="C35" s="7">
        <v>0.87</v>
      </c>
      <c r="D35" s="48">
        <f t="shared" si="6"/>
        <v>0.87</v>
      </c>
      <c r="E35" s="19" t="s">
        <v>38</v>
      </c>
      <c r="F35" s="5">
        <v>0.85</v>
      </c>
      <c r="G35" s="16">
        <f t="shared" si="7"/>
        <v>0.85</v>
      </c>
      <c r="H35" s="19" t="s">
        <v>38</v>
      </c>
      <c r="I35" s="5">
        <v>1.05</v>
      </c>
      <c r="J35" s="16">
        <f t="shared" si="8"/>
        <v>1.05</v>
      </c>
      <c r="K35" s="19" t="s">
        <v>38</v>
      </c>
      <c r="L35" s="5">
        <v>1.2</v>
      </c>
      <c r="M35" s="16">
        <f t="shared" si="9"/>
        <v>1.2</v>
      </c>
      <c r="N35" s="19" t="s">
        <v>38</v>
      </c>
      <c r="O35" s="5">
        <v>1.3</v>
      </c>
      <c r="P35" s="16">
        <f t="shared" si="10"/>
        <v>1.3</v>
      </c>
      <c r="Q35" s="19" t="s">
        <v>38</v>
      </c>
      <c r="R35" s="5">
        <v>0.9</v>
      </c>
      <c r="S35" s="16">
        <f t="shared" si="11"/>
        <v>0.9</v>
      </c>
      <c r="V35" s="30" t="s">
        <v>36</v>
      </c>
      <c r="W35" s="4"/>
      <c r="Y35" s="88">
        <f t="shared" si="0"/>
        <v>0</v>
      </c>
      <c r="Z35" s="88">
        <f t="shared" si="1"/>
        <v>0</v>
      </c>
      <c r="AA35" s="89">
        <f t="shared" si="2"/>
        <v>0</v>
      </c>
      <c r="AB35" s="89">
        <f t="shared" si="3"/>
        <v>0</v>
      </c>
      <c r="AC35" s="30">
        <f t="shared" si="4"/>
        <v>0</v>
      </c>
      <c r="AD35" s="30">
        <f t="shared" si="5"/>
        <v>0</v>
      </c>
    </row>
    <row r="36" spans="1:30" s="28" customFormat="1" ht="15.75">
      <c r="A36" s="40" t="s">
        <v>64</v>
      </c>
      <c r="B36" s="32" t="s">
        <v>38</v>
      </c>
      <c r="C36" s="24">
        <v>0.8</v>
      </c>
      <c r="D36" s="51">
        <f t="shared" si="6"/>
        <v>0.8</v>
      </c>
      <c r="E36" s="25" t="s">
        <v>38</v>
      </c>
      <c r="F36" s="26">
        <v>0.92</v>
      </c>
      <c r="G36" s="27">
        <f t="shared" si="7"/>
        <v>0.92</v>
      </c>
      <c r="H36" s="25" t="s">
        <v>38</v>
      </c>
      <c r="I36" s="26">
        <v>1.05</v>
      </c>
      <c r="J36" s="27">
        <f t="shared" si="8"/>
        <v>1.05</v>
      </c>
      <c r="K36" s="25" t="s">
        <v>38</v>
      </c>
      <c r="L36" s="26">
        <v>1.99</v>
      </c>
      <c r="M36" s="27">
        <f t="shared" si="9"/>
        <v>1.99</v>
      </c>
      <c r="N36" s="25" t="s">
        <v>38</v>
      </c>
      <c r="O36" s="26">
        <v>3.55</v>
      </c>
      <c r="P36" s="27">
        <f t="shared" si="10"/>
        <v>3.55</v>
      </c>
      <c r="Q36" s="25" t="s">
        <v>38</v>
      </c>
      <c r="R36" s="26">
        <v>0.78</v>
      </c>
      <c r="S36" s="27">
        <f t="shared" si="11"/>
        <v>0.78</v>
      </c>
      <c r="V36" s="30"/>
      <c r="W36" s="4"/>
      <c r="Y36" s="88">
        <f t="shared" si="0"/>
        <v>0</v>
      </c>
      <c r="Z36" s="88">
        <f t="shared" si="1"/>
        <v>0</v>
      </c>
      <c r="AA36" s="89">
        <f t="shared" si="2"/>
        <v>0</v>
      </c>
      <c r="AB36" s="89">
        <f t="shared" si="3"/>
        <v>0</v>
      </c>
      <c r="AC36" s="30">
        <f t="shared" si="4"/>
        <v>0</v>
      </c>
      <c r="AD36" s="30">
        <f t="shared" si="5"/>
        <v>0</v>
      </c>
    </row>
    <row r="37" spans="1:30" s="28" customFormat="1" ht="16.5" customHeight="1">
      <c r="A37" s="40" t="s">
        <v>65</v>
      </c>
      <c r="B37" s="32" t="s">
        <v>38</v>
      </c>
      <c r="C37" s="24">
        <v>1.01</v>
      </c>
      <c r="D37" s="51">
        <f t="shared" si="6"/>
        <v>1.01</v>
      </c>
      <c r="E37" s="25" t="s">
        <v>38</v>
      </c>
      <c r="F37" s="26">
        <v>1.81</v>
      </c>
      <c r="G37" s="27">
        <f t="shared" si="7"/>
        <v>1.81</v>
      </c>
      <c r="H37" s="25" t="s">
        <v>38</v>
      </c>
      <c r="I37" s="26">
        <v>1.61</v>
      </c>
      <c r="J37" s="27">
        <f t="shared" si="8"/>
        <v>1.61</v>
      </c>
      <c r="K37" s="25" t="s">
        <v>38</v>
      </c>
      <c r="L37" s="26">
        <v>1.54</v>
      </c>
      <c r="M37" s="27">
        <f t="shared" si="9"/>
        <v>1.54</v>
      </c>
      <c r="N37" s="25" t="s">
        <v>38</v>
      </c>
      <c r="O37" s="26">
        <v>1.85</v>
      </c>
      <c r="P37" s="27">
        <f t="shared" si="10"/>
        <v>1.85</v>
      </c>
      <c r="Q37" s="25" t="s">
        <v>38</v>
      </c>
      <c r="R37" s="26">
        <v>1.13</v>
      </c>
      <c r="S37" s="27">
        <f t="shared" si="11"/>
        <v>1.13</v>
      </c>
      <c r="V37" s="30"/>
      <c r="W37" s="4"/>
      <c r="Y37" s="88">
        <f t="shared" si="0"/>
        <v>0</v>
      </c>
      <c r="Z37" s="88">
        <f t="shared" si="1"/>
        <v>0</v>
      </c>
      <c r="AA37" s="89">
        <f t="shared" si="2"/>
        <v>0</v>
      </c>
      <c r="AB37" s="89">
        <f t="shared" si="3"/>
        <v>0</v>
      </c>
      <c r="AC37" s="30">
        <f t="shared" si="4"/>
        <v>0</v>
      </c>
      <c r="AD37" s="30">
        <f t="shared" si="5"/>
        <v>0</v>
      </c>
    </row>
    <row r="38" spans="1:30" s="28" customFormat="1" ht="15.75">
      <c r="A38" s="40" t="s">
        <v>66</v>
      </c>
      <c r="B38" s="32" t="s">
        <v>38</v>
      </c>
      <c r="C38" s="24">
        <v>3.49</v>
      </c>
      <c r="D38" s="51">
        <f t="shared" si="6"/>
        <v>3.49</v>
      </c>
      <c r="E38" s="25" t="s">
        <v>38</v>
      </c>
      <c r="F38" s="26">
        <v>2.64</v>
      </c>
      <c r="G38" s="27">
        <f t="shared" si="7"/>
        <v>2.64</v>
      </c>
      <c r="H38" s="25" t="s">
        <v>38</v>
      </c>
      <c r="I38" s="26">
        <v>3.18</v>
      </c>
      <c r="J38" s="27">
        <f t="shared" si="8"/>
        <v>3.18</v>
      </c>
      <c r="K38" s="25" t="s">
        <v>38</v>
      </c>
      <c r="L38" s="26">
        <v>3.05</v>
      </c>
      <c r="M38" s="27">
        <f t="shared" si="9"/>
        <v>3.05</v>
      </c>
      <c r="N38" s="25" t="s">
        <v>38</v>
      </c>
      <c r="O38" s="26">
        <v>4.98</v>
      </c>
      <c r="P38" s="27">
        <f t="shared" si="10"/>
        <v>4.98</v>
      </c>
      <c r="Q38" s="25" t="s">
        <v>38</v>
      </c>
      <c r="R38" s="26">
        <v>3.26</v>
      </c>
      <c r="S38" s="27">
        <f t="shared" si="11"/>
        <v>3.26</v>
      </c>
      <c r="V38" s="30" t="s">
        <v>152</v>
      </c>
      <c r="W38" s="4"/>
      <c r="Y38" s="88">
        <f aca="true" t="shared" si="12" ref="Y38:Y59">W38*D38</f>
        <v>0</v>
      </c>
      <c r="Z38" s="88">
        <f aca="true" t="shared" si="13" ref="Z38:Z59">W38*G38</f>
        <v>0</v>
      </c>
      <c r="AA38" s="89">
        <f aca="true" t="shared" si="14" ref="AA38:AA67">W38*J38</f>
        <v>0</v>
      </c>
      <c r="AB38" s="89">
        <f aca="true" t="shared" si="15" ref="AB38:AB67">W38*M38</f>
        <v>0</v>
      </c>
      <c r="AC38" s="30">
        <f t="shared" si="4"/>
        <v>0</v>
      </c>
      <c r="AD38" s="30">
        <f t="shared" si="5"/>
        <v>0</v>
      </c>
    </row>
    <row r="39" spans="1:30" s="28" customFormat="1" ht="25.5">
      <c r="A39" s="40" t="s">
        <v>17</v>
      </c>
      <c r="B39" s="32" t="s">
        <v>94</v>
      </c>
      <c r="C39" s="24">
        <v>0.81</v>
      </c>
      <c r="D39" s="51">
        <f t="shared" si="6"/>
        <v>0.81</v>
      </c>
      <c r="E39" s="25" t="s">
        <v>38</v>
      </c>
      <c r="F39" s="26">
        <v>0.61</v>
      </c>
      <c r="G39" s="27">
        <f t="shared" si="7"/>
        <v>0.61</v>
      </c>
      <c r="H39" s="32" t="s">
        <v>94</v>
      </c>
      <c r="I39" s="26">
        <v>0.79</v>
      </c>
      <c r="J39" s="27">
        <f t="shared" si="8"/>
        <v>0.79</v>
      </c>
      <c r="K39" s="25" t="s">
        <v>38</v>
      </c>
      <c r="L39" s="26">
        <v>0.68</v>
      </c>
      <c r="M39" s="27">
        <f t="shared" si="9"/>
        <v>0.68</v>
      </c>
      <c r="N39" s="25" t="s">
        <v>38</v>
      </c>
      <c r="O39" s="26">
        <v>0.7</v>
      </c>
      <c r="P39" s="27">
        <f t="shared" si="10"/>
        <v>0.7</v>
      </c>
      <c r="Q39" s="25" t="s">
        <v>38</v>
      </c>
      <c r="R39" s="26">
        <v>0.69</v>
      </c>
      <c r="S39" s="27">
        <f t="shared" si="11"/>
        <v>0.69</v>
      </c>
      <c r="V39" s="30"/>
      <c r="W39" s="4"/>
      <c r="Y39" s="88">
        <f t="shared" si="12"/>
        <v>0</v>
      </c>
      <c r="Z39" s="88">
        <f t="shared" si="13"/>
        <v>0</v>
      </c>
      <c r="AA39" s="89">
        <f t="shared" si="14"/>
        <v>0</v>
      </c>
      <c r="AB39" s="89">
        <f t="shared" si="15"/>
        <v>0</v>
      </c>
      <c r="AC39" s="30">
        <f t="shared" si="4"/>
        <v>0</v>
      </c>
      <c r="AD39" s="30">
        <f t="shared" si="5"/>
        <v>0</v>
      </c>
    </row>
    <row r="40" spans="1:30" s="28" customFormat="1" ht="15.75">
      <c r="A40" s="40" t="s">
        <v>5</v>
      </c>
      <c r="B40" s="32" t="s">
        <v>38</v>
      </c>
      <c r="C40" s="24">
        <v>8.05</v>
      </c>
      <c r="D40" s="51">
        <f t="shared" si="6"/>
        <v>8.05</v>
      </c>
      <c r="E40" s="25" t="s">
        <v>38</v>
      </c>
      <c r="F40" s="26">
        <v>1.86</v>
      </c>
      <c r="G40" s="27">
        <f t="shared" si="7"/>
        <v>1.86</v>
      </c>
      <c r="H40" s="25" t="s">
        <v>38</v>
      </c>
      <c r="I40" s="26">
        <v>2.49</v>
      </c>
      <c r="J40" s="27">
        <f t="shared" si="8"/>
        <v>2.49</v>
      </c>
      <c r="K40" s="25" t="s">
        <v>38</v>
      </c>
      <c r="L40" s="26">
        <v>2.3</v>
      </c>
      <c r="M40" s="27">
        <f t="shared" si="9"/>
        <v>2.3</v>
      </c>
      <c r="N40" s="25" t="s">
        <v>38</v>
      </c>
      <c r="O40" s="26">
        <v>14.2</v>
      </c>
      <c r="P40" s="27">
        <f t="shared" si="10"/>
        <v>14.2</v>
      </c>
      <c r="Q40" s="25" t="s">
        <v>38</v>
      </c>
      <c r="R40" s="62">
        <v>14.2</v>
      </c>
      <c r="S40" s="80">
        <f t="shared" si="11"/>
        <v>14.2</v>
      </c>
      <c r="V40" s="30"/>
      <c r="W40" s="4"/>
      <c r="Y40" s="88">
        <f t="shared" si="12"/>
        <v>0</v>
      </c>
      <c r="Z40" s="88">
        <f t="shared" si="13"/>
        <v>0</v>
      </c>
      <c r="AA40" s="89">
        <f t="shared" si="14"/>
        <v>0</v>
      </c>
      <c r="AB40" s="89">
        <f t="shared" si="15"/>
        <v>0</v>
      </c>
      <c r="AC40" s="30">
        <f t="shared" si="4"/>
        <v>0</v>
      </c>
      <c r="AD40" s="30">
        <f t="shared" si="5"/>
        <v>0</v>
      </c>
    </row>
    <row r="41" spans="1:30" s="28" customFormat="1" ht="15.75">
      <c r="A41" s="40" t="s">
        <v>11</v>
      </c>
      <c r="B41" s="32" t="s">
        <v>38</v>
      </c>
      <c r="C41" s="24">
        <v>5.46</v>
      </c>
      <c r="D41" s="51">
        <f t="shared" si="6"/>
        <v>5.46</v>
      </c>
      <c r="E41" s="25" t="s">
        <v>38</v>
      </c>
      <c r="F41" s="26">
        <v>1.7</v>
      </c>
      <c r="G41" s="27">
        <f t="shared" si="7"/>
        <v>1.7</v>
      </c>
      <c r="H41" s="25" t="s">
        <v>38</v>
      </c>
      <c r="I41" s="26">
        <v>3.18</v>
      </c>
      <c r="J41" s="27">
        <f t="shared" si="8"/>
        <v>3.18</v>
      </c>
      <c r="K41" s="25" t="s">
        <v>38</v>
      </c>
      <c r="L41" s="26">
        <v>6.08</v>
      </c>
      <c r="M41" s="27">
        <f t="shared" si="9"/>
        <v>6.08</v>
      </c>
      <c r="N41" s="25" t="s">
        <v>38</v>
      </c>
      <c r="O41" s="26">
        <v>6.4</v>
      </c>
      <c r="P41" s="27">
        <f t="shared" si="10"/>
        <v>6.4</v>
      </c>
      <c r="Q41" s="25" t="s">
        <v>38</v>
      </c>
      <c r="R41" s="26">
        <v>3.97</v>
      </c>
      <c r="S41" s="27">
        <f t="shared" si="11"/>
        <v>3.97</v>
      </c>
      <c r="V41" s="30"/>
      <c r="W41" s="4"/>
      <c r="Y41" s="88">
        <f t="shared" si="12"/>
        <v>0</v>
      </c>
      <c r="Z41" s="88">
        <f t="shared" si="13"/>
        <v>0</v>
      </c>
      <c r="AA41" s="89">
        <f t="shared" si="14"/>
        <v>0</v>
      </c>
      <c r="AB41" s="90">
        <f t="shared" si="15"/>
        <v>0</v>
      </c>
      <c r="AC41" s="30">
        <f t="shared" si="4"/>
        <v>0</v>
      </c>
      <c r="AD41" s="30">
        <f t="shared" si="5"/>
        <v>0</v>
      </c>
    </row>
    <row r="42" spans="1:30" s="28" customFormat="1" ht="15.75">
      <c r="A42" s="40" t="s">
        <v>27</v>
      </c>
      <c r="B42" s="32" t="s">
        <v>38</v>
      </c>
      <c r="C42" s="24">
        <v>0.95</v>
      </c>
      <c r="D42" s="51">
        <f t="shared" si="6"/>
        <v>0.95</v>
      </c>
      <c r="E42" s="25" t="s">
        <v>38</v>
      </c>
      <c r="F42" s="26">
        <v>1.03</v>
      </c>
      <c r="G42" s="27">
        <f t="shared" si="7"/>
        <v>1.03</v>
      </c>
      <c r="H42" s="25" t="s">
        <v>38</v>
      </c>
      <c r="I42" s="26">
        <v>1.27</v>
      </c>
      <c r="J42" s="27">
        <f t="shared" si="8"/>
        <v>1.27</v>
      </c>
      <c r="K42" s="25" t="s">
        <v>38</v>
      </c>
      <c r="L42" s="26">
        <v>1.65</v>
      </c>
      <c r="M42" s="27">
        <f t="shared" si="9"/>
        <v>1.65</v>
      </c>
      <c r="N42" s="25" t="s">
        <v>38</v>
      </c>
      <c r="O42" s="26">
        <v>1.7</v>
      </c>
      <c r="P42" s="27">
        <f t="shared" si="10"/>
        <v>1.7</v>
      </c>
      <c r="Q42" s="25" t="s">
        <v>38</v>
      </c>
      <c r="R42" s="26">
        <v>1.19</v>
      </c>
      <c r="S42" s="27">
        <f t="shared" si="11"/>
        <v>1.19</v>
      </c>
      <c r="V42" s="30"/>
      <c r="W42" s="4"/>
      <c r="Y42" s="88">
        <f t="shared" si="12"/>
        <v>0</v>
      </c>
      <c r="Z42" s="88">
        <f t="shared" si="13"/>
        <v>0</v>
      </c>
      <c r="AA42" s="89">
        <f t="shared" si="14"/>
        <v>0</v>
      </c>
      <c r="AB42" s="89">
        <f t="shared" si="15"/>
        <v>0</v>
      </c>
      <c r="AC42" s="30">
        <f t="shared" si="4"/>
        <v>0</v>
      </c>
      <c r="AD42" s="30">
        <f t="shared" si="5"/>
        <v>0</v>
      </c>
    </row>
    <row r="43" spans="1:30" s="28" customFormat="1" ht="15.75">
      <c r="A43" s="40" t="s">
        <v>18</v>
      </c>
      <c r="B43" s="32" t="s">
        <v>38</v>
      </c>
      <c r="C43" s="24">
        <v>2.59</v>
      </c>
      <c r="D43" s="51">
        <f t="shared" si="6"/>
        <v>2.59</v>
      </c>
      <c r="E43" s="25" t="s">
        <v>38</v>
      </c>
      <c r="F43" s="26">
        <v>2.38</v>
      </c>
      <c r="G43" s="27">
        <f t="shared" si="7"/>
        <v>2.38</v>
      </c>
      <c r="H43" s="25" t="s">
        <v>117</v>
      </c>
      <c r="I43" s="26">
        <v>2.47</v>
      </c>
      <c r="J43" s="27">
        <f t="shared" si="8"/>
        <v>2.47</v>
      </c>
      <c r="K43" s="25" t="s">
        <v>38</v>
      </c>
      <c r="L43" s="26">
        <v>3.4</v>
      </c>
      <c r="M43" s="27">
        <f t="shared" si="9"/>
        <v>3.4</v>
      </c>
      <c r="N43" s="25" t="s">
        <v>38</v>
      </c>
      <c r="O43" s="26">
        <v>3.03</v>
      </c>
      <c r="P43" s="27">
        <f t="shared" si="10"/>
        <v>3.03</v>
      </c>
      <c r="Q43" s="25" t="s">
        <v>38</v>
      </c>
      <c r="R43" s="26">
        <v>2.46</v>
      </c>
      <c r="S43" s="27">
        <f t="shared" si="11"/>
        <v>2.46</v>
      </c>
      <c r="V43" s="30"/>
      <c r="W43" s="4"/>
      <c r="Y43" s="88">
        <f t="shared" si="12"/>
        <v>0</v>
      </c>
      <c r="Z43" s="88">
        <f t="shared" si="13"/>
        <v>0</v>
      </c>
      <c r="AA43" s="89">
        <f t="shared" si="14"/>
        <v>0</v>
      </c>
      <c r="AB43" s="89">
        <f t="shared" si="15"/>
        <v>0</v>
      </c>
      <c r="AC43" s="30">
        <f t="shared" si="4"/>
        <v>0</v>
      </c>
      <c r="AD43" s="30">
        <f t="shared" si="5"/>
        <v>0</v>
      </c>
    </row>
    <row r="44" spans="1:30" s="28" customFormat="1" ht="15.75">
      <c r="A44" s="40" t="s">
        <v>19</v>
      </c>
      <c r="B44" s="32" t="s">
        <v>38</v>
      </c>
      <c r="C44" s="24">
        <v>2.39</v>
      </c>
      <c r="D44" s="51">
        <f t="shared" si="6"/>
        <v>2.39</v>
      </c>
      <c r="E44" s="25" t="s">
        <v>38</v>
      </c>
      <c r="F44" s="26">
        <v>1.84</v>
      </c>
      <c r="G44" s="27">
        <f t="shared" si="7"/>
        <v>1.84</v>
      </c>
      <c r="H44" s="25" t="s">
        <v>118</v>
      </c>
      <c r="I44" s="26">
        <v>1.78</v>
      </c>
      <c r="J44" s="27">
        <f t="shared" si="8"/>
        <v>1.78</v>
      </c>
      <c r="K44" s="25" t="s">
        <v>38</v>
      </c>
      <c r="L44" s="26">
        <v>1.7</v>
      </c>
      <c r="M44" s="27">
        <f t="shared" si="9"/>
        <v>1.7</v>
      </c>
      <c r="N44" s="25" t="s">
        <v>38</v>
      </c>
      <c r="O44" s="26">
        <v>1.95</v>
      </c>
      <c r="P44" s="27">
        <f t="shared" si="10"/>
        <v>1.95</v>
      </c>
      <c r="Q44" s="25" t="s">
        <v>38</v>
      </c>
      <c r="R44" s="26">
        <v>2</v>
      </c>
      <c r="S44" s="27">
        <f t="shared" si="11"/>
        <v>2</v>
      </c>
      <c r="V44" s="30"/>
      <c r="W44" s="4"/>
      <c r="Y44" s="88">
        <f t="shared" si="12"/>
        <v>0</v>
      </c>
      <c r="Z44" s="88">
        <f t="shared" si="13"/>
        <v>0</v>
      </c>
      <c r="AA44" s="89">
        <f t="shared" si="14"/>
        <v>0</v>
      </c>
      <c r="AB44" s="89">
        <f t="shared" si="15"/>
        <v>0</v>
      </c>
      <c r="AC44" s="30">
        <f t="shared" si="4"/>
        <v>0</v>
      </c>
      <c r="AD44" s="30">
        <f t="shared" si="5"/>
        <v>0</v>
      </c>
    </row>
    <row r="45" spans="1:30" s="28" customFormat="1" ht="15.75">
      <c r="A45" s="40" t="s">
        <v>67</v>
      </c>
      <c r="B45" s="32" t="s">
        <v>38</v>
      </c>
      <c r="C45" s="24">
        <v>2.59</v>
      </c>
      <c r="D45" s="51">
        <f t="shared" si="6"/>
        <v>2.59</v>
      </c>
      <c r="E45" s="25" t="s">
        <v>38</v>
      </c>
      <c r="F45" s="26">
        <v>2.69</v>
      </c>
      <c r="G45" s="27">
        <f t="shared" si="7"/>
        <v>2.69</v>
      </c>
      <c r="H45" s="25" t="s">
        <v>117</v>
      </c>
      <c r="I45" s="26">
        <v>2.37</v>
      </c>
      <c r="J45" s="27">
        <f t="shared" si="8"/>
        <v>2.37</v>
      </c>
      <c r="K45" s="25" t="s">
        <v>38</v>
      </c>
      <c r="L45" s="26">
        <v>3.4</v>
      </c>
      <c r="M45" s="27">
        <f t="shared" si="9"/>
        <v>3.4</v>
      </c>
      <c r="N45" s="25" t="s">
        <v>38</v>
      </c>
      <c r="O45" s="26">
        <v>3.25</v>
      </c>
      <c r="P45" s="27">
        <f t="shared" si="10"/>
        <v>3.25</v>
      </c>
      <c r="Q45" s="25" t="s">
        <v>38</v>
      </c>
      <c r="R45" s="26">
        <v>2.4</v>
      </c>
      <c r="S45" s="27">
        <f t="shared" si="11"/>
        <v>2.4</v>
      </c>
      <c r="V45" s="30"/>
      <c r="W45" s="4"/>
      <c r="Y45" s="88">
        <f t="shared" si="12"/>
        <v>0</v>
      </c>
      <c r="Z45" s="88">
        <f t="shared" si="13"/>
        <v>0</v>
      </c>
      <c r="AA45" s="91">
        <f t="shared" si="14"/>
        <v>0</v>
      </c>
      <c r="AB45" s="91">
        <f t="shared" si="15"/>
        <v>0</v>
      </c>
      <c r="AC45" s="30">
        <f t="shared" si="4"/>
        <v>0</v>
      </c>
      <c r="AD45" s="30">
        <f t="shared" si="5"/>
        <v>0</v>
      </c>
    </row>
    <row r="46" spans="1:30" s="28" customFormat="1" ht="15.75">
      <c r="A46" s="40" t="s">
        <v>20</v>
      </c>
      <c r="B46" s="32" t="s">
        <v>38</v>
      </c>
      <c r="C46" s="24">
        <v>32.45</v>
      </c>
      <c r="D46" s="51">
        <f t="shared" si="6"/>
        <v>32.45</v>
      </c>
      <c r="E46" s="25" t="s">
        <v>38</v>
      </c>
      <c r="F46" s="26">
        <v>31.31</v>
      </c>
      <c r="G46" s="27">
        <f t="shared" si="7"/>
        <v>31.31</v>
      </c>
      <c r="H46" s="25" t="s">
        <v>38</v>
      </c>
      <c r="I46" s="26">
        <v>34.5</v>
      </c>
      <c r="J46" s="27">
        <f t="shared" si="8"/>
        <v>34.5</v>
      </c>
      <c r="K46" s="25" t="s">
        <v>38</v>
      </c>
      <c r="L46" s="26">
        <v>39.9</v>
      </c>
      <c r="M46" s="27">
        <f t="shared" si="9"/>
        <v>39.9</v>
      </c>
      <c r="N46" s="25" t="s">
        <v>38</v>
      </c>
      <c r="O46" s="26">
        <v>40.55</v>
      </c>
      <c r="P46" s="27">
        <f t="shared" si="10"/>
        <v>40.55</v>
      </c>
      <c r="Q46" s="25" t="s">
        <v>38</v>
      </c>
      <c r="R46" s="26">
        <v>29.54</v>
      </c>
      <c r="S46" s="27">
        <f t="shared" si="11"/>
        <v>29.54</v>
      </c>
      <c r="V46" s="30"/>
      <c r="W46" s="4"/>
      <c r="Y46" s="88">
        <f t="shared" si="12"/>
        <v>0</v>
      </c>
      <c r="Z46" s="88">
        <f t="shared" si="13"/>
        <v>0</v>
      </c>
      <c r="AA46" s="89">
        <f t="shared" si="14"/>
        <v>0</v>
      </c>
      <c r="AB46" s="89">
        <f t="shared" si="15"/>
        <v>0</v>
      </c>
      <c r="AC46" s="30">
        <f t="shared" si="4"/>
        <v>0</v>
      </c>
      <c r="AD46" s="30">
        <f t="shared" si="5"/>
        <v>0</v>
      </c>
    </row>
    <row r="47" spans="1:30" s="28" customFormat="1" ht="38.25">
      <c r="A47" s="40" t="s">
        <v>21</v>
      </c>
      <c r="B47" s="14" t="s">
        <v>95</v>
      </c>
      <c r="C47" s="24">
        <v>16.72</v>
      </c>
      <c r="D47" s="51">
        <f>C47/16</f>
        <v>1.045</v>
      </c>
      <c r="E47" s="14" t="s">
        <v>101</v>
      </c>
      <c r="F47" s="26">
        <v>2.5</v>
      </c>
      <c r="G47" s="27">
        <f>F47/4</f>
        <v>0.625</v>
      </c>
      <c r="H47" s="14" t="s">
        <v>101</v>
      </c>
      <c r="I47" s="26">
        <v>2.36</v>
      </c>
      <c r="J47" s="27">
        <f>I47/4</f>
        <v>0.59</v>
      </c>
      <c r="K47" s="14" t="s">
        <v>123</v>
      </c>
      <c r="L47" s="26">
        <v>2.9</v>
      </c>
      <c r="M47" s="27">
        <f>L47/3</f>
        <v>0.9666666666666667</v>
      </c>
      <c r="N47" s="14" t="s">
        <v>103</v>
      </c>
      <c r="O47" s="26">
        <v>10.63</v>
      </c>
      <c r="P47" s="27">
        <f>O47/5</f>
        <v>2.1260000000000003</v>
      </c>
      <c r="Q47" s="14" t="s">
        <v>123</v>
      </c>
      <c r="R47" s="26">
        <v>3.56</v>
      </c>
      <c r="S47" s="27">
        <f>R47/3</f>
        <v>1.1866666666666668</v>
      </c>
      <c r="V47" s="30"/>
      <c r="W47" s="4"/>
      <c r="Y47" s="88">
        <f t="shared" si="12"/>
        <v>0</v>
      </c>
      <c r="Z47" s="88">
        <f t="shared" si="13"/>
        <v>0</v>
      </c>
      <c r="AA47" s="89">
        <f t="shared" si="14"/>
        <v>0</v>
      </c>
      <c r="AB47" s="89">
        <f t="shared" si="15"/>
        <v>0</v>
      </c>
      <c r="AC47" s="30">
        <f t="shared" si="4"/>
        <v>0</v>
      </c>
      <c r="AD47" s="30">
        <f t="shared" si="5"/>
        <v>0</v>
      </c>
    </row>
    <row r="48" spans="1:30" s="28" customFormat="1" ht="15.75">
      <c r="A48" s="40" t="s">
        <v>22</v>
      </c>
      <c r="B48" s="32" t="s">
        <v>38</v>
      </c>
      <c r="C48" s="24">
        <v>1.33</v>
      </c>
      <c r="D48" s="51">
        <f>C48/1</f>
        <v>1.33</v>
      </c>
      <c r="E48" s="25" t="s">
        <v>38</v>
      </c>
      <c r="F48" s="26">
        <v>1.07</v>
      </c>
      <c r="G48" s="27">
        <f>F48/1</f>
        <v>1.07</v>
      </c>
      <c r="H48" s="25" t="s">
        <v>38</v>
      </c>
      <c r="I48" s="26">
        <v>1.4</v>
      </c>
      <c r="J48" s="27">
        <f>I48/1</f>
        <v>1.4</v>
      </c>
      <c r="K48" s="25" t="s">
        <v>38</v>
      </c>
      <c r="L48" s="26">
        <v>1.9</v>
      </c>
      <c r="M48" s="27">
        <f>L48/1</f>
        <v>1.9</v>
      </c>
      <c r="N48" s="25" t="s">
        <v>38</v>
      </c>
      <c r="O48" s="26">
        <v>4.94</v>
      </c>
      <c r="P48" s="27">
        <f>O48/1</f>
        <v>4.94</v>
      </c>
      <c r="Q48" s="25" t="s">
        <v>38</v>
      </c>
      <c r="R48" s="26">
        <v>1.18</v>
      </c>
      <c r="S48" s="27">
        <f>R48/1</f>
        <v>1.18</v>
      </c>
      <c r="V48" s="30"/>
      <c r="W48" s="4"/>
      <c r="Y48" s="88">
        <f t="shared" si="12"/>
        <v>0</v>
      </c>
      <c r="Z48" s="88">
        <f t="shared" si="13"/>
        <v>0</v>
      </c>
      <c r="AA48" s="89">
        <f t="shared" si="14"/>
        <v>0</v>
      </c>
      <c r="AB48" s="89">
        <f t="shared" si="15"/>
        <v>0</v>
      </c>
      <c r="AC48" s="30">
        <f t="shared" si="4"/>
        <v>0</v>
      </c>
      <c r="AD48" s="30">
        <f t="shared" si="5"/>
        <v>0</v>
      </c>
    </row>
    <row r="49" spans="1:30" s="28" customFormat="1" ht="15.75">
      <c r="A49" s="40" t="s">
        <v>28</v>
      </c>
      <c r="B49" s="32" t="s">
        <v>33</v>
      </c>
      <c r="C49" s="24">
        <v>19.5</v>
      </c>
      <c r="D49" s="51">
        <f>C49/1</f>
        <v>19.5</v>
      </c>
      <c r="E49" s="32" t="s">
        <v>33</v>
      </c>
      <c r="F49" s="26">
        <v>41.53</v>
      </c>
      <c r="G49" s="27">
        <f>F49/1</f>
        <v>41.53</v>
      </c>
      <c r="H49" s="32" t="s">
        <v>33</v>
      </c>
      <c r="I49" s="26">
        <v>18.5</v>
      </c>
      <c r="J49" s="27">
        <f>I49/1</f>
        <v>18.5</v>
      </c>
      <c r="K49" s="32" t="s">
        <v>33</v>
      </c>
      <c r="L49" s="26">
        <v>22.8</v>
      </c>
      <c r="M49" s="27">
        <f>L49/1</f>
        <v>22.8</v>
      </c>
      <c r="N49" s="32" t="s">
        <v>33</v>
      </c>
      <c r="O49" s="62">
        <v>41.53</v>
      </c>
      <c r="P49" s="80">
        <f>O49/1</f>
        <v>41.53</v>
      </c>
      <c r="Q49" s="32" t="s">
        <v>33</v>
      </c>
      <c r="R49" s="62">
        <v>41.53</v>
      </c>
      <c r="S49" s="80">
        <f>R49/1</f>
        <v>41.53</v>
      </c>
      <c r="V49" s="30"/>
      <c r="W49" s="4"/>
      <c r="Y49" s="88">
        <f t="shared" si="12"/>
        <v>0</v>
      </c>
      <c r="Z49" s="88">
        <f t="shared" si="13"/>
        <v>0</v>
      </c>
      <c r="AA49" s="89">
        <f t="shared" si="14"/>
        <v>0</v>
      </c>
      <c r="AB49" s="89">
        <f t="shared" si="15"/>
        <v>0</v>
      </c>
      <c r="AC49" s="30">
        <f t="shared" si="4"/>
        <v>0</v>
      </c>
      <c r="AD49" s="30">
        <f t="shared" si="5"/>
        <v>0</v>
      </c>
    </row>
    <row r="50" spans="1:30" ht="25.5">
      <c r="A50" s="40" t="s">
        <v>68</v>
      </c>
      <c r="B50" s="32" t="s">
        <v>96</v>
      </c>
      <c r="C50" s="30">
        <v>0.89</v>
      </c>
      <c r="D50" s="51">
        <f>C50/1</f>
        <v>0.89</v>
      </c>
      <c r="E50" s="25" t="s">
        <v>38</v>
      </c>
      <c r="F50" s="30">
        <v>0.94</v>
      </c>
      <c r="G50" s="27">
        <f>F50/1</f>
        <v>0.94</v>
      </c>
      <c r="H50" s="32" t="s">
        <v>119</v>
      </c>
      <c r="I50" s="30">
        <v>18.6</v>
      </c>
      <c r="J50" s="55">
        <f>I50/12</f>
        <v>1.55</v>
      </c>
      <c r="K50" s="25" t="s">
        <v>38</v>
      </c>
      <c r="L50" s="30">
        <v>1.65</v>
      </c>
      <c r="M50" s="16">
        <f>L50/1</f>
        <v>1.65</v>
      </c>
      <c r="N50" s="32" t="s">
        <v>33</v>
      </c>
      <c r="O50" s="30">
        <v>2.46</v>
      </c>
      <c r="P50" s="55">
        <f>O50/1</f>
        <v>2.46</v>
      </c>
      <c r="Q50" s="25" t="s">
        <v>34</v>
      </c>
      <c r="R50" s="30">
        <v>3.03</v>
      </c>
      <c r="S50" s="55">
        <f>R50/100</f>
        <v>0.030299999999999997</v>
      </c>
      <c r="V50" s="35"/>
      <c r="W50" s="35"/>
      <c r="Y50" s="88">
        <f t="shared" si="12"/>
        <v>0</v>
      </c>
      <c r="Z50" s="88">
        <f t="shared" si="13"/>
        <v>0</v>
      </c>
      <c r="AA50" s="89">
        <f t="shared" si="14"/>
        <v>0</v>
      </c>
      <c r="AB50" s="89">
        <f t="shared" si="15"/>
        <v>0</v>
      </c>
      <c r="AC50" s="30">
        <f t="shared" si="4"/>
        <v>0</v>
      </c>
      <c r="AD50" s="35">
        <f t="shared" si="5"/>
        <v>0</v>
      </c>
    </row>
    <row r="51" spans="1:30" ht="25.5">
      <c r="A51" s="40" t="s">
        <v>69</v>
      </c>
      <c r="B51" s="32" t="s">
        <v>98</v>
      </c>
      <c r="C51" s="5">
        <v>3.5</v>
      </c>
      <c r="D51" s="51">
        <f>C51/100</f>
        <v>0.035</v>
      </c>
      <c r="E51" s="25" t="s">
        <v>38</v>
      </c>
      <c r="F51" s="30">
        <v>3.49</v>
      </c>
      <c r="G51" s="52">
        <f>F51/100</f>
        <v>0.0349</v>
      </c>
      <c r="H51" s="25" t="s">
        <v>34</v>
      </c>
      <c r="I51" s="30">
        <v>3.5</v>
      </c>
      <c r="J51" s="55">
        <f>I51/100</f>
        <v>0.035</v>
      </c>
      <c r="K51" s="25" t="s">
        <v>38</v>
      </c>
      <c r="L51" s="30">
        <v>1.39</v>
      </c>
      <c r="M51" s="16">
        <f>L51/1</f>
        <v>1.39</v>
      </c>
      <c r="N51" s="25" t="s">
        <v>34</v>
      </c>
      <c r="O51" s="30">
        <v>6.2</v>
      </c>
      <c r="P51" s="55">
        <f>O51/100</f>
        <v>0.062</v>
      </c>
      <c r="Q51" s="25" t="s">
        <v>34</v>
      </c>
      <c r="R51" s="30">
        <v>3.03</v>
      </c>
      <c r="S51" s="55">
        <f>R51/100</f>
        <v>0.030299999999999997</v>
      </c>
      <c r="V51" s="35"/>
      <c r="W51" s="35"/>
      <c r="Y51" s="88">
        <f t="shared" si="12"/>
        <v>0</v>
      </c>
      <c r="Z51" s="88">
        <f t="shared" si="13"/>
        <v>0</v>
      </c>
      <c r="AA51" s="89">
        <f t="shared" si="14"/>
        <v>0</v>
      </c>
      <c r="AB51" s="89">
        <f t="shared" si="15"/>
        <v>0</v>
      </c>
      <c r="AC51" s="30">
        <f t="shared" si="4"/>
        <v>0</v>
      </c>
      <c r="AD51" s="35">
        <f t="shared" si="5"/>
        <v>0</v>
      </c>
    </row>
    <row r="52" spans="1:30" ht="25.5">
      <c r="A52" s="93" t="s">
        <v>70</v>
      </c>
      <c r="B52" s="32" t="s">
        <v>97</v>
      </c>
      <c r="C52" s="94">
        <v>0.45</v>
      </c>
      <c r="D52" s="51">
        <f>C52/1</f>
        <v>0.45</v>
      </c>
      <c r="E52" s="32" t="s">
        <v>33</v>
      </c>
      <c r="F52" s="94">
        <v>2.37</v>
      </c>
      <c r="G52" s="27">
        <f>F52/1</f>
        <v>2.37</v>
      </c>
      <c r="H52" s="32" t="s">
        <v>119</v>
      </c>
      <c r="I52" s="94">
        <v>20.88</v>
      </c>
      <c r="J52" s="95">
        <f>I52/12</f>
        <v>1.74</v>
      </c>
      <c r="K52" s="32" t="s">
        <v>33</v>
      </c>
      <c r="L52" s="94">
        <v>1.65</v>
      </c>
      <c r="M52" s="27">
        <f>L52/1</f>
        <v>1.65</v>
      </c>
      <c r="N52" s="25" t="s">
        <v>34</v>
      </c>
      <c r="O52" s="94">
        <v>5.2</v>
      </c>
      <c r="P52" s="95">
        <f>O52/100</f>
        <v>0.052000000000000005</v>
      </c>
      <c r="Q52" s="25" t="s">
        <v>34</v>
      </c>
      <c r="R52" s="94">
        <v>3.03</v>
      </c>
      <c r="S52" s="95">
        <f>R52/100</f>
        <v>0.030299999999999997</v>
      </c>
      <c r="V52" s="35"/>
      <c r="W52" s="35"/>
      <c r="Y52" s="88">
        <f t="shared" si="12"/>
        <v>0</v>
      </c>
      <c r="Z52" s="88">
        <f t="shared" si="13"/>
        <v>0</v>
      </c>
      <c r="AA52" s="89">
        <f t="shared" si="14"/>
        <v>0</v>
      </c>
      <c r="AB52" s="89">
        <f t="shared" si="15"/>
        <v>0</v>
      </c>
      <c r="AC52" s="30"/>
      <c r="AD52" s="35"/>
    </row>
    <row r="53" spans="1:30" ht="15.75">
      <c r="A53" s="40"/>
      <c r="B53" s="15"/>
      <c r="C53" s="30"/>
      <c r="D53" s="100"/>
      <c r="E53" s="15"/>
      <c r="F53" s="30"/>
      <c r="G53" s="16"/>
      <c r="H53" s="15"/>
      <c r="I53" s="30"/>
      <c r="J53" s="55"/>
      <c r="K53" s="15"/>
      <c r="L53" s="30"/>
      <c r="M53" s="16"/>
      <c r="N53" s="19"/>
      <c r="O53" s="30"/>
      <c r="P53" s="55"/>
      <c r="Q53" s="19"/>
      <c r="R53" s="30"/>
      <c r="S53" s="55"/>
      <c r="V53" s="35"/>
      <c r="W53" s="35"/>
      <c r="Y53" s="88">
        <f t="shared" si="12"/>
        <v>0</v>
      </c>
      <c r="Z53" s="88">
        <f t="shared" si="13"/>
        <v>0</v>
      </c>
      <c r="AA53" s="89">
        <f t="shared" si="14"/>
        <v>0</v>
      </c>
      <c r="AB53" s="89">
        <f t="shared" si="15"/>
        <v>0</v>
      </c>
      <c r="AC53" s="30"/>
      <c r="AD53" s="35"/>
    </row>
    <row r="54" spans="1:30" ht="15.75">
      <c r="A54" s="40"/>
      <c r="B54" s="15"/>
      <c r="C54" s="30"/>
      <c r="D54" s="100"/>
      <c r="E54" s="15"/>
      <c r="F54" s="30"/>
      <c r="G54" s="16"/>
      <c r="H54" s="15"/>
      <c r="I54" s="30"/>
      <c r="J54" s="55"/>
      <c r="K54" s="15"/>
      <c r="L54" s="30"/>
      <c r="M54" s="16"/>
      <c r="N54" s="19"/>
      <c r="O54" s="30"/>
      <c r="P54" s="55"/>
      <c r="Q54" s="19"/>
      <c r="R54" s="30"/>
      <c r="S54" s="55"/>
      <c r="V54" s="35"/>
      <c r="W54" s="35"/>
      <c r="Y54" s="88">
        <f t="shared" si="12"/>
        <v>0</v>
      </c>
      <c r="Z54" s="88">
        <f t="shared" si="13"/>
        <v>0</v>
      </c>
      <c r="AA54" s="89">
        <f t="shared" si="14"/>
        <v>0</v>
      </c>
      <c r="AB54" s="89">
        <f t="shared" si="15"/>
        <v>0</v>
      </c>
      <c r="AC54" s="30"/>
      <c r="AD54" s="35"/>
    </row>
    <row r="55" spans="1:30" ht="15.75">
      <c r="A55" s="40" t="s">
        <v>154</v>
      </c>
      <c r="B55" s="15" t="s">
        <v>159</v>
      </c>
      <c r="C55" s="30">
        <v>11.2</v>
      </c>
      <c r="D55" s="100">
        <f>C55/16</f>
        <v>0.7</v>
      </c>
      <c r="E55" s="15"/>
      <c r="F55" s="105">
        <v>11.2</v>
      </c>
      <c r="G55" s="106">
        <f>F55/16</f>
        <v>0.7</v>
      </c>
      <c r="H55" s="15" t="s">
        <v>161</v>
      </c>
      <c r="I55" s="30">
        <v>2.59</v>
      </c>
      <c r="J55" s="100">
        <f>I55/5</f>
        <v>0.518</v>
      </c>
      <c r="K55" s="15" t="s">
        <v>163</v>
      </c>
      <c r="L55" s="30">
        <v>11.2</v>
      </c>
      <c r="M55" s="100">
        <f>L55/20</f>
        <v>0.5599999999999999</v>
      </c>
      <c r="N55" s="19"/>
      <c r="O55" s="30"/>
      <c r="P55" s="55"/>
      <c r="Q55" s="19"/>
      <c r="R55" s="30"/>
      <c r="S55" s="55"/>
      <c r="V55" s="35" t="s">
        <v>170</v>
      </c>
      <c r="W55" s="35"/>
      <c r="Y55" s="88">
        <f t="shared" si="12"/>
        <v>0</v>
      </c>
      <c r="Z55" s="88">
        <f t="shared" si="13"/>
        <v>0</v>
      </c>
      <c r="AA55" s="89">
        <f t="shared" si="14"/>
        <v>0</v>
      </c>
      <c r="AB55" s="89">
        <f t="shared" si="15"/>
        <v>0</v>
      </c>
      <c r="AC55" s="30"/>
      <c r="AD55" s="35"/>
    </row>
    <row r="56" spans="1:30" ht="15.75">
      <c r="A56" s="40" t="s">
        <v>155</v>
      </c>
      <c r="B56" s="15" t="s">
        <v>160</v>
      </c>
      <c r="C56" s="30">
        <v>49.45</v>
      </c>
      <c r="D56" s="100">
        <f>C56/25</f>
        <v>1.9780000000000002</v>
      </c>
      <c r="E56" s="15"/>
      <c r="F56" s="105">
        <v>49.45</v>
      </c>
      <c r="G56" s="106">
        <f>F56/25</f>
        <v>1.9780000000000002</v>
      </c>
      <c r="H56" s="15" t="s">
        <v>168</v>
      </c>
      <c r="I56" s="30">
        <v>12.48</v>
      </c>
      <c r="J56" s="100">
        <f>I56/12</f>
        <v>1.04</v>
      </c>
      <c r="K56" s="15" t="s">
        <v>164</v>
      </c>
      <c r="L56" s="30">
        <v>47.6</v>
      </c>
      <c r="M56" s="100">
        <f>L56/24</f>
        <v>1.9833333333333334</v>
      </c>
      <c r="N56" s="19"/>
      <c r="O56" s="30"/>
      <c r="P56" s="55"/>
      <c r="Q56" s="19"/>
      <c r="R56" s="30"/>
      <c r="S56" s="55"/>
      <c r="V56" s="35" t="s">
        <v>169</v>
      </c>
      <c r="W56" s="35"/>
      <c r="Y56" s="88">
        <f t="shared" si="12"/>
        <v>0</v>
      </c>
      <c r="Z56" s="88">
        <f t="shared" si="13"/>
        <v>0</v>
      </c>
      <c r="AA56" s="89">
        <f t="shared" si="14"/>
        <v>0</v>
      </c>
      <c r="AB56" s="89">
        <f t="shared" si="15"/>
        <v>0</v>
      </c>
      <c r="AC56" s="30"/>
      <c r="AD56" s="35"/>
    </row>
    <row r="57" spans="1:30" ht="15.75">
      <c r="A57" s="40" t="s">
        <v>153</v>
      </c>
      <c r="B57" s="15" t="s">
        <v>160</v>
      </c>
      <c r="C57" s="30">
        <v>63.25</v>
      </c>
      <c r="D57" s="100">
        <f>C57/25</f>
        <v>2.53</v>
      </c>
      <c r="E57" s="15"/>
      <c r="F57" s="105">
        <v>63.25</v>
      </c>
      <c r="G57" s="106">
        <f>F57/25</f>
        <v>2.53</v>
      </c>
      <c r="H57" s="15" t="s">
        <v>168</v>
      </c>
      <c r="I57" s="30">
        <v>13.8</v>
      </c>
      <c r="J57" s="100">
        <f>I57/12</f>
        <v>1.1500000000000001</v>
      </c>
      <c r="K57" s="15" t="s">
        <v>159</v>
      </c>
      <c r="L57" s="30">
        <v>30.8</v>
      </c>
      <c r="M57" s="100">
        <f>L57/20</f>
        <v>1.54</v>
      </c>
      <c r="N57" s="19"/>
      <c r="O57" s="30"/>
      <c r="P57" s="55"/>
      <c r="Q57" s="19"/>
      <c r="R57" s="30"/>
      <c r="S57" s="55"/>
      <c r="V57" s="35" t="s">
        <v>171</v>
      </c>
      <c r="W57" s="35"/>
      <c r="Y57" s="88">
        <f t="shared" si="12"/>
        <v>0</v>
      </c>
      <c r="Z57" s="88">
        <f t="shared" si="13"/>
        <v>0</v>
      </c>
      <c r="AA57" s="89">
        <f t="shared" si="14"/>
        <v>0</v>
      </c>
      <c r="AB57" s="89">
        <f t="shared" si="15"/>
        <v>0</v>
      </c>
      <c r="AC57" s="30"/>
      <c r="AD57" s="35"/>
    </row>
    <row r="58" spans="1:30" ht="31.5" customHeight="1">
      <c r="A58" s="40" t="s">
        <v>156</v>
      </c>
      <c r="B58" s="15" t="s">
        <v>121</v>
      </c>
      <c r="C58" s="30">
        <v>20.4</v>
      </c>
      <c r="D58" s="100">
        <f>C58/4.5</f>
        <v>4.533333333333333</v>
      </c>
      <c r="E58" s="15"/>
      <c r="F58" s="105">
        <v>20.4</v>
      </c>
      <c r="G58" s="106">
        <f>F58/4.5</f>
        <v>4.533333333333333</v>
      </c>
      <c r="H58" s="15" t="s">
        <v>112</v>
      </c>
      <c r="I58" s="30">
        <v>27</v>
      </c>
      <c r="J58" s="100">
        <f>I58/9</f>
        <v>3</v>
      </c>
      <c r="K58" s="15" t="s">
        <v>165</v>
      </c>
      <c r="L58" s="30">
        <v>2.8</v>
      </c>
      <c r="M58" s="100">
        <f>L58/0.75</f>
        <v>3.733333333333333</v>
      </c>
      <c r="N58" s="19"/>
      <c r="O58" s="30"/>
      <c r="P58" s="55"/>
      <c r="Q58" s="19"/>
      <c r="R58" s="30"/>
      <c r="S58" s="55"/>
      <c r="V58" s="104" t="s">
        <v>172</v>
      </c>
      <c r="W58" s="30"/>
      <c r="Y58" s="88">
        <f t="shared" si="12"/>
        <v>0</v>
      </c>
      <c r="Z58" s="88">
        <f t="shared" si="13"/>
        <v>0</v>
      </c>
      <c r="AA58" s="89">
        <f t="shared" si="14"/>
        <v>0</v>
      </c>
      <c r="AB58" s="89">
        <f t="shared" si="15"/>
        <v>0</v>
      </c>
      <c r="AC58" s="30"/>
      <c r="AD58" s="35"/>
    </row>
    <row r="59" spans="1:30" ht="38.25">
      <c r="A59" s="40" t="s">
        <v>157</v>
      </c>
      <c r="B59" s="15" t="s">
        <v>36</v>
      </c>
      <c r="C59" s="30">
        <v>3.3</v>
      </c>
      <c r="D59" s="100">
        <f>C59/10</f>
        <v>0.32999999999999996</v>
      </c>
      <c r="E59" s="15"/>
      <c r="F59" s="105">
        <v>3.3</v>
      </c>
      <c r="G59" s="106">
        <f>F59/10</f>
        <v>0.32999999999999996</v>
      </c>
      <c r="H59" s="15" t="s">
        <v>162</v>
      </c>
      <c r="I59" s="30">
        <v>0.49</v>
      </c>
      <c r="J59" s="100">
        <f>I59/3</f>
        <v>0.16333333333333333</v>
      </c>
      <c r="K59" s="15" t="s">
        <v>93</v>
      </c>
      <c r="L59" s="30">
        <v>0.35</v>
      </c>
      <c r="M59" s="100">
        <f>L59/3</f>
        <v>0.11666666666666665</v>
      </c>
      <c r="N59" s="19"/>
      <c r="O59" s="30"/>
      <c r="P59" s="55"/>
      <c r="Q59" s="19"/>
      <c r="R59" s="30"/>
      <c r="S59" s="55"/>
      <c r="V59" s="15" t="s">
        <v>162</v>
      </c>
      <c r="W59" s="30"/>
      <c r="Y59" s="88">
        <f t="shared" si="12"/>
        <v>0</v>
      </c>
      <c r="Z59" s="88">
        <f t="shared" si="13"/>
        <v>0</v>
      </c>
      <c r="AA59" s="89">
        <f t="shared" si="14"/>
        <v>0</v>
      </c>
      <c r="AB59" s="89">
        <f t="shared" si="15"/>
        <v>0</v>
      </c>
      <c r="AC59" s="30"/>
      <c r="AD59" s="35"/>
    </row>
    <row r="60" spans="1:30" ht="25.5">
      <c r="A60" s="40" t="s">
        <v>158</v>
      </c>
      <c r="B60" s="15" t="s">
        <v>177</v>
      </c>
      <c r="C60" s="30">
        <v>22.5</v>
      </c>
      <c r="D60" s="107">
        <f>C60/3840</f>
        <v>0.005859375</v>
      </c>
      <c r="E60" s="15"/>
      <c r="F60" s="105">
        <v>22.5</v>
      </c>
      <c r="G60" s="108">
        <f>F60/3840</f>
        <v>0.005859375</v>
      </c>
      <c r="H60" s="15" t="s">
        <v>176</v>
      </c>
      <c r="I60" s="5">
        <v>15.9</v>
      </c>
      <c r="J60" s="107">
        <f>I60/3150</f>
        <v>0.005047619047619047</v>
      </c>
      <c r="K60" s="15"/>
      <c r="L60" s="30"/>
      <c r="M60" s="16"/>
      <c r="N60" s="19"/>
      <c r="O60" s="30"/>
      <c r="P60" s="55"/>
      <c r="Q60" s="19"/>
      <c r="R60" s="30"/>
      <c r="S60" s="55"/>
      <c r="V60" s="35"/>
      <c r="W60" s="35"/>
      <c r="Y60" s="88"/>
      <c r="Z60" s="88"/>
      <c r="AA60" s="89">
        <f t="shared" si="14"/>
        <v>0</v>
      </c>
      <c r="AB60" s="89">
        <f t="shared" si="15"/>
        <v>0</v>
      </c>
      <c r="AC60" s="30"/>
      <c r="AD60" s="35"/>
    </row>
    <row r="61" spans="1:30" ht="15.75">
      <c r="A61" s="40"/>
      <c r="B61" s="15"/>
      <c r="C61" s="30"/>
      <c r="D61" s="100"/>
      <c r="E61" s="15"/>
      <c r="F61" s="30"/>
      <c r="G61" s="16"/>
      <c r="H61" s="15"/>
      <c r="I61" s="30"/>
      <c r="J61" s="55"/>
      <c r="K61" s="15"/>
      <c r="L61" s="30"/>
      <c r="M61" s="16"/>
      <c r="N61" s="19"/>
      <c r="O61" s="30"/>
      <c r="P61" s="55"/>
      <c r="Q61" s="19"/>
      <c r="R61" s="30"/>
      <c r="S61" s="55"/>
      <c r="V61" s="35"/>
      <c r="W61" s="35"/>
      <c r="Y61" s="88">
        <f aca="true" t="shared" si="16" ref="Y61:Y67">W61*D61</f>
        <v>0</v>
      </c>
      <c r="Z61" s="88">
        <f aca="true" t="shared" si="17" ref="Z61:Z67">W61*G61</f>
        <v>0</v>
      </c>
      <c r="AA61" s="89">
        <f t="shared" si="14"/>
        <v>0</v>
      </c>
      <c r="AB61" s="89">
        <f t="shared" si="15"/>
        <v>0</v>
      </c>
      <c r="AC61" s="30"/>
      <c r="AD61" s="35"/>
    </row>
    <row r="62" spans="1:30" ht="15.75">
      <c r="A62" s="40"/>
      <c r="B62" s="15"/>
      <c r="C62" s="30"/>
      <c r="D62" s="100"/>
      <c r="E62" s="15"/>
      <c r="F62" s="30"/>
      <c r="G62" s="16"/>
      <c r="H62" s="15"/>
      <c r="I62" s="30"/>
      <c r="J62" s="55"/>
      <c r="K62" s="15"/>
      <c r="L62" s="30"/>
      <c r="M62" s="16"/>
      <c r="N62" s="19"/>
      <c r="O62" s="30"/>
      <c r="P62" s="55"/>
      <c r="Q62" s="19"/>
      <c r="R62" s="30"/>
      <c r="S62" s="55"/>
      <c r="V62" s="35"/>
      <c r="W62" s="35"/>
      <c r="Y62" s="88">
        <f t="shared" si="16"/>
        <v>0</v>
      </c>
      <c r="Z62" s="88">
        <f t="shared" si="17"/>
        <v>0</v>
      </c>
      <c r="AA62" s="89">
        <f t="shared" si="14"/>
        <v>0</v>
      </c>
      <c r="AB62" s="89">
        <f t="shared" si="15"/>
        <v>0</v>
      </c>
      <c r="AC62" s="30"/>
      <c r="AD62" s="35"/>
    </row>
    <row r="63" spans="1:30" ht="15.75">
      <c r="A63" s="40"/>
      <c r="B63" s="15"/>
      <c r="C63" s="30"/>
      <c r="D63" s="100"/>
      <c r="E63" s="15"/>
      <c r="F63" s="30"/>
      <c r="G63" s="16"/>
      <c r="H63" s="15"/>
      <c r="I63" s="30"/>
      <c r="J63" s="55"/>
      <c r="K63" s="15"/>
      <c r="L63" s="30"/>
      <c r="M63" s="16"/>
      <c r="N63" s="19"/>
      <c r="O63" s="30"/>
      <c r="P63" s="55"/>
      <c r="Q63" s="19"/>
      <c r="R63" s="30"/>
      <c r="S63" s="55"/>
      <c r="V63" s="35"/>
      <c r="W63" s="35"/>
      <c r="Y63" s="88">
        <f t="shared" si="16"/>
        <v>0</v>
      </c>
      <c r="Z63" s="88">
        <f t="shared" si="17"/>
        <v>0</v>
      </c>
      <c r="AA63" s="89">
        <f t="shared" si="14"/>
        <v>0</v>
      </c>
      <c r="AB63" s="89">
        <f t="shared" si="15"/>
        <v>0</v>
      </c>
      <c r="AC63" s="30"/>
      <c r="AD63" s="35"/>
    </row>
    <row r="64" spans="1:30" ht="15.75">
      <c r="A64" s="40"/>
      <c r="B64" s="15"/>
      <c r="C64" s="30"/>
      <c r="D64" s="100"/>
      <c r="E64" s="15"/>
      <c r="F64" s="30"/>
      <c r="G64" s="16"/>
      <c r="H64" s="15"/>
      <c r="I64" s="30"/>
      <c r="J64" s="55"/>
      <c r="K64" s="15"/>
      <c r="L64" s="30"/>
      <c r="M64" s="16"/>
      <c r="N64" s="19"/>
      <c r="O64" s="30"/>
      <c r="P64" s="55"/>
      <c r="Q64" s="19"/>
      <c r="R64" s="30"/>
      <c r="S64" s="55"/>
      <c r="V64" s="35"/>
      <c r="W64" s="35"/>
      <c r="Y64" s="88">
        <f t="shared" si="16"/>
        <v>0</v>
      </c>
      <c r="Z64" s="88">
        <f t="shared" si="17"/>
        <v>0</v>
      </c>
      <c r="AA64" s="89">
        <f t="shared" si="14"/>
        <v>0</v>
      </c>
      <c r="AB64" s="89">
        <f t="shared" si="15"/>
        <v>0</v>
      </c>
      <c r="AC64" s="30"/>
      <c r="AD64" s="35"/>
    </row>
    <row r="65" spans="1:30" ht="15.75">
      <c r="A65" s="40"/>
      <c r="B65" s="15"/>
      <c r="C65" s="30"/>
      <c r="D65" s="100"/>
      <c r="E65" s="15"/>
      <c r="F65" s="30"/>
      <c r="G65" s="16"/>
      <c r="H65" s="15"/>
      <c r="I65" s="30"/>
      <c r="J65" s="55"/>
      <c r="K65" s="15"/>
      <c r="L65" s="30"/>
      <c r="M65" s="16"/>
      <c r="N65" s="19"/>
      <c r="O65" s="30"/>
      <c r="P65" s="55"/>
      <c r="Q65" s="19"/>
      <c r="R65" s="30"/>
      <c r="S65" s="55"/>
      <c r="V65" s="35"/>
      <c r="W65" s="35"/>
      <c r="Y65" s="88">
        <f t="shared" si="16"/>
        <v>0</v>
      </c>
      <c r="Z65" s="88">
        <f t="shared" si="17"/>
        <v>0</v>
      </c>
      <c r="AA65" s="89">
        <f t="shared" si="14"/>
        <v>0</v>
      </c>
      <c r="AB65" s="89">
        <f t="shared" si="15"/>
        <v>0</v>
      </c>
      <c r="AC65" s="30"/>
      <c r="AD65" s="35"/>
    </row>
    <row r="66" spans="1:30" ht="15.75">
      <c r="A66" s="40"/>
      <c r="B66" s="15"/>
      <c r="C66" s="30"/>
      <c r="D66" s="100"/>
      <c r="E66" s="15"/>
      <c r="F66" s="30"/>
      <c r="G66" s="16"/>
      <c r="H66" s="15"/>
      <c r="I66" s="30"/>
      <c r="J66" s="55"/>
      <c r="K66" s="15"/>
      <c r="L66" s="30"/>
      <c r="M66" s="16"/>
      <c r="N66" s="19"/>
      <c r="O66" s="30"/>
      <c r="P66" s="55"/>
      <c r="Q66" s="19"/>
      <c r="R66" s="30"/>
      <c r="S66" s="55"/>
      <c r="V66" s="35"/>
      <c r="W66" s="35"/>
      <c r="Y66" s="88">
        <f t="shared" si="16"/>
        <v>0</v>
      </c>
      <c r="Z66" s="88">
        <f t="shared" si="17"/>
        <v>0</v>
      </c>
      <c r="AA66" s="89">
        <f t="shared" si="14"/>
        <v>0</v>
      </c>
      <c r="AB66" s="89">
        <f t="shared" si="15"/>
        <v>0</v>
      </c>
      <c r="AC66" s="30"/>
      <c r="AD66" s="35"/>
    </row>
    <row r="67" spans="1:30" ht="16.5" thickBot="1">
      <c r="A67" s="96"/>
      <c r="B67" s="97"/>
      <c r="C67" s="98"/>
      <c r="D67" s="99"/>
      <c r="E67" s="97"/>
      <c r="F67" s="98"/>
      <c r="G67" s="101"/>
      <c r="H67" s="97"/>
      <c r="I67" s="98"/>
      <c r="J67" s="102"/>
      <c r="K67" s="97"/>
      <c r="L67" s="98"/>
      <c r="M67" s="101"/>
      <c r="N67" s="103"/>
      <c r="O67" s="98"/>
      <c r="P67" s="102"/>
      <c r="Q67" s="103"/>
      <c r="R67" s="98"/>
      <c r="S67" s="102"/>
      <c r="V67" s="35"/>
      <c r="W67" s="35"/>
      <c r="Y67" s="88">
        <f t="shared" si="16"/>
        <v>0</v>
      </c>
      <c r="Z67" s="88">
        <f t="shared" si="17"/>
        <v>0</v>
      </c>
      <c r="AA67" s="89">
        <f t="shared" si="14"/>
        <v>0</v>
      </c>
      <c r="AB67" s="89">
        <f t="shared" si="15"/>
        <v>0</v>
      </c>
      <c r="AC67" s="30">
        <f>W67*P67</f>
        <v>0</v>
      </c>
      <c r="AD67" s="35">
        <f>W67*S67</f>
        <v>0</v>
      </c>
    </row>
    <row r="68" spans="4:30" ht="12.75">
      <c r="D68" s="79">
        <f>SUM(D6:D67)</f>
        <v>129.26480937500003</v>
      </c>
      <c r="G68" s="79">
        <f>SUM(G6:G67)</f>
        <v>139.06549270833332</v>
      </c>
      <c r="J68" s="79">
        <f>SUM(J6:J67)</f>
        <v>116.99038095238096</v>
      </c>
      <c r="M68" s="79">
        <f>SUM(M6:M67)</f>
        <v>139.16399999999996</v>
      </c>
      <c r="P68" s="79">
        <f>SUM(P6:P67)</f>
        <v>197.438701754386</v>
      </c>
      <c r="S68" s="79">
        <f>SUM(S6:S67)</f>
        <v>144.67130000000003</v>
      </c>
      <c r="Y68" s="33">
        <f aca="true" t="shared" si="18" ref="Y68:AD68">SUM(Y6:Y67)</f>
        <v>118.8</v>
      </c>
      <c r="Z68" s="33">
        <f t="shared" si="18"/>
        <v>131.04</v>
      </c>
      <c r="AA68" s="33">
        <f t="shared" si="18"/>
        <v>117.84</v>
      </c>
      <c r="AB68" s="33">
        <f t="shared" si="18"/>
        <v>142.24</v>
      </c>
      <c r="AC68" s="33">
        <f t="shared" si="18"/>
        <v>163.12000000000003</v>
      </c>
      <c r="AD68" s="63">
        <f t="shared" si="18"/>
        <v>145.52</v>
      </c>
    </row>
    <row r="72" spans="17:19" ht="12.75">
      <c r="Q72" s="36"/>
      <c r="R72" s="36"/>
      <c r="S72" s="92"/>
    </row>
    <row r="73" spans="17:19" ht="12.75">
      <c r="Q73" s="36"/>
      <c r="R73" s="36"/>
      <c r="S73" s="92"/>
    </row>
    <row r="74" spans="17:19" ht="12.75">
      <c r="Q74" s="36"/>
      <c r="R74" s="36"/>
      <c r="S74" s="92"/>
    </row>
    <row r="75" spans="17:19" ht="12.75">
      <c r="Q75" s="36"/>
      <c r="R75" s="36"/>
      <c r="S75" s="92"/>
    </row>
    <row r="76" spans="17:19" ht="12.75">
      <c r="Q76" s="36"/>
      <c r="R76" s="36"/>
      <c r="S76" s="92"/>
    </row>
    <row r="77" spans="17:19" ht="12.75">
      <c r="Q77" s="36"/>
      <c r="R77" s="36"/>
      <c r="S77" s="36"/>
    </row>
  </sheetData>
  <sheetProtection/>
  <mergeCells count="15">
    <mergeCell ref="A2:S2"/>
    <mergeCell ref="AC4:AC5"/>
    <mergeCell ref="AB4:AB5"/>
    <mergeCell ref="Y4:Y5"/>
    <mergeCell ref="Z4:Z5"/>
    <mergeCell ref="V4:W5"/>
    <mergeCell ref="E4:G4"/>
    <mergeCell ref="H4:J4"/>
    <mergeCell ref="AA4:AA5"/>
    <mergeCell ref="K4:M4"/>
    <mergeCell ref="AD4:AD5"/>
    <mergeCell ref="A4:A5"/>
    <mergeCell ref="B4:D4"/>
    <mergeCell ref="N4:P4"/>
    <mergeCell ref="Q4:S4"/>
  </mergeCells>
  <printOptions horizontalCentered="1" verticalCentered="1"/>
  <pageMargins left="0.1968503937007874" right="0.1968503937007874" top="0.3937007874015748" bottom="0.7874015748031497" header="0.2362204724409449" footer="0.15748031496062992"/>
  <pageSetup fitToHeight="2" fitToWidth="2" horizontalDpi="600" verticalDpi="600" orientation="landscape" paperSize="8" scale="47" r:id="rId1"/>
  <rowBreaks count="1" manualBreakCount="1">
    <brk id="68" max="29" man="1"/>
  </rowBreaks>
  <colBreaks count="1" manualBreakCount="1">
    <brk id="19" max="67" man="1"/>
  </colBreak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tabSelected="1" zoomScaleSheetLayoutView="71" zoomScalePageLayoutView="0" workbookViewId="0" topLeftCell="A1">
      <pane xSplit="1" ySplit="6" topLeftCell="B121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64" sqref="A64"/>
    </sheetView>
  </sheetViews>
  <sheetFormatPr defaultColWidth="9.140625" defaultRowHeight="12.75"/>
  <cols>
    <col min="1" max="1" width="87.7109375" style="0" bestFit="1" customWidth="1"/>
    <col min="2" max="2" width="25.8515625" style="0" bestFit="1" customWidth="1"/>
    <col min="3" max="3" width="11.57421875" style="0" customWidth="1"/>
    <col min="4" max="4" width="13.28125" style="0" customWidth="1"/>
    <col min="5" max="5" width="13.8515625" style="0" customWidth="1"/>
    <col min="6" max="6" width="4.421875" style="0" hidden="1" customWidth="1"/>
  </cols>
  <sheetData>
    <row r="1" spans="1:6" ht="12.75">
      <c r="A1" s="201"/>
      <c r="B1" s="201"/>
      <c r="C1" s="201"/>
      <c r="D1" s="201"/>
      <c r="E1" s="201"/>
      <c r="F1" s="201"/>
    </row>
    <row r="2" spans="1:6" ht="20.25" customHeight="1">
      <c r="A2" s="202" t="s">
        <v>414</v>
      </c>
      <c r="B2" s="202"/>
      <c r="C2" s="202"/>
      <c r="D2" s="202"/>
      <c r="E2" s="202"/>
      <c r="F2" s="202"/>
    </row>
    <row r="3" spans="1:6" ht="22.5" customHeight="1" thickBot="1">
      <c r="A3" s="203" t="s">
        <v>415</v>
      </c>
      <c r="B3" s="203"/>
      <c r="C3" s="201"/>
      <c r="D3" s="201"/>
      <c r="E3" s="201"/>
      <c r="F3" s="201"/>
    </row>
    <row r="4" spans="1:6" ht="15.75" customHeight="1">
      <c r="A4" s="204" t="s">
        <v>0</v>
      </c>
      <c r="B4" s="206" t="s">
        <v>420</v>
      </c>
      <c r="C4" s="207"/>
      <c r="D4" s="207"/>
      <c r="E4" s="208"/>
      <c r="F4" s="10"/>
    </row>
    <row r="5" spans="1:6" ht="15.75" customHeight="1">
      <c r="A5" s="242"/>
      <c r="B5" s="198"/>
      <c r="C5" s="199"/>
      <c r="D5" s="199"/>
      <c r="E5" s="200"/>
      <c r="F5" s="10"/>
    </row>
    <row r="6" spans="1:6" ht="28.5" customHeight="1">
      <c r="A6" s="205"/>
      <c r="B6" s="67" t="s">
        <v>2</v>
      </c>
      <c r="C6" s="148" t="s">
        <v>413</v>
      </c>
      <c r="D6" s="147" t="s">
        <v>412</v>
      </c>
      <c r="E6" s="69" t="s">
        <v>416</v>
      </c>
      <c r="F6" s="11"/>
    </row>
    <row r="7" spans="1:6" s="28" customFormat="1" ht="27" customHeight="1">
      <c r="A7" s="158" t="s">
        <v>400</v>
      </c>
      <c r="B7" s="151"/>
      <c r="C7" s="151"/>
      <c r="D7" s="151"/>
      <c r="E7" s="151"/>
      <c r="F7" s="9"/>
    </row>
    <row r="8" spans="1:6" s="28" customFormat="1" ht="30">
      <c r="A8" s="159" t="s">
        <v>178</v>
      </c>
      <c r="B8" s="144" t="s">
        <v>459</v>
      </c>
      <c r="C8" s="154"/>
      <c r="D8" s="88"/>
      <c r="E8" s="153">
        <f>ROUND(C8*D8,2)</f>
        <v>0</v>
      </c>
      <c r="F8" s="9"/>
    </row>
    <row r="9" spans="1:6" s="28" customFormat="1" ht="50.25" customHeight="1">
      <c r="A9" s="160" t="s">
        <v>422</v>
      </c>
      <c r="B9" s="144" t="s">
        <v>460</v>
      </c>
      <c r="C9" s="154">
        <v>7.2</v>
      </c>
      <c r="D9" s="88">
        <v>50</v>
      </c>
      <c r="E9" s="153">
        <f aca="true" t="shared" si="0" ref="E9:E73">ROUND(C9*D9,2)</f>
        <v>360</v>
      </c>
      <c r="F9" s="9"/>
    </row>
    <row r="10" spans="1:6" s="28" customFormat="1" ht="22.5" customHeight="1">
      <c r="A10" s="159" t="s">
        <v>514</v>
      </c>
      <c r="B10" s="144">
        <v>3000</v>
      </c>
      <c r="C10" s="154">
        <v>16.5</v>
      </c>
      <c r="D10" s="163">
        <v>30</v>
      </c>
      <c r="E10" s="153">
        <f t="shared" si="0"/>
        <v>495</v>
      </c>
      <c r="F10" s="9"/>
    </row>
    <row r="11" spans="1:6" s="28" customFormat="1" ht="15">
      <c r="A11" s="159" t="s">
        <v>423</v>
      </c>
      <c r="B11" s="104" t="s">
        <v>38</v>
      </c>
      <c r="C11" s="154"/>
      <c r="D11" s="163"/>
      <c r="E11" s="153">
        <f t="shared" si="0"/>
        <v>0</v>
      </c>
      <c r="F11" s="9"/>
    </row>
    <row r="12" spans="1:6" s="28" customFormat="1" ht="20.25" customHeight="1">
      <c r="A12" s="159" t="s">
        <v>183</v>
      </c>
      <c r="B12" s="104" t="s">
        <v>38</v>
      </c>
      <c r="C12" s="154"/>
      <c r="D12" s="88"/>
      <c r="E12" s="153">
        <f t="shared" si="0"/>
        <v>0</v>
      </c>
      <c r="F12" s="9"/>
    </row>
    <row r="13" spans="1:6" s="28" customFormat="1" ht="20.25" customHeight="1">
      <c r="A13" s="159" t="s">
        <v>184</v>
      </c>
      <c r="B13" s="104" t="s">
        <v>38</v>
      </c>
      <c r="C13" s="154"/>
      <c r="D13" s="88"/>
      <c r="E13" s="153">
        <f t="shared" si="0"/>
        <v>0</v>
      </c>
      <c r="F13" s="9"/>
    </row>
    <row r="14" spans="1:6" s="28" customFormat="1" ht="20.25" customHeight="1">
      <c r="A14" s="159" t="s">
        <v>424</v>
      </c>
      <c r="B14" s="104" t="s">
        <v>461</v>
      </c>
      <c r="C14" s="154"/>
      <c r="D14" s="88"/>
      <c r="E14" s="153">
        <f t="shared" si="0"/>
        <v>0</v>
      </c>
      <c r="F14" s="9"/>
    </row>
    <row r="15" spans="1:6" s="28" customFormat="1" ht="15">
      <c r="A15" s="159" t="s">
        <v>185</v>
      </c>
      <c r="B15" s="104" t="s">
        <v>462</v>
      </c>
      <c r="C15" s="154"/>
      <c r="D15" s="88"/>
      <c r="E15" s="153">
        <f t="shared" si="0"/>
        <v>0</v>
      </c>
      <c r="F15" s="9"/>
    </row>
    <row r="16" spans="1:6" s="28" customFormat="1" ht="20.25" customHeight="1">
      <c r="A16" s="159" t="s">
        <v>425</v>
      </c>
      <c r="B16" s="104" t="s">
        <v>463</v>
      </c>
      <c r="C16" s="154"/>
      <c r="D16" s="88"/>
      <c r="E16" s="153">
        <f t="shared" si="0"/>
        <v>0</v>
      </c>
      <c r="F16" s="9"/>
    </row>
    <row r="17" spans="1:6" s="28" customFormat="1" ht="26.25" customHeight="1">
      <c r="A17" s="159" t="s">
        <v>426</v>
      </c>
      <c r="B17" s="151" t="s">
        <v>510</v>
      </c>
      <c r="C17" s="151"/>
      <c r="D17" s="88"/>
      <c r="E17" s="153">
        <f t="shared" si="0"/>
        <v>0</v>
      </c>
      <c r="F17" s="9"/>
    </row>
    <row r="18" spans="1:6" s="28" customFormat="1" ht="15">
      <c r="A18" s="159" t="s">
        <v>186</v>
      </c>
      <c r="B18" s="144" t="s">
        <v>38</v>
      </c>
      <c r="C18" s="154"/>
      <c r="D18" s="88"/>
      <c r="E18" s="153">
        <f t="shared" si="0"/>
        <v>0</v>
      </c>
      <c r="F18" s="9"/>
    </row>
    <row r="19" spans="1:6" s="28" customFormat="1" ht="15">
      <c r="A19" s="159" t="s">
        <v>187</v>
      </c>
      <c r="B19" s="144" t="s">
        <v>38</v>
      </c>
      <c r="C19" s="154"/>
      <c r="D19" s="88"/>
      <c r="E19" s="153">
        <f t="shared" si="0"/>
        <v>0</v>
      </c>
      <c r="F19" s="9"/>
    </row>
    <row r="20" spans="1:6" s="28" customFormat="1" ht="15">
      <c r="A20" s="161" t="s">
        <v>188</v>
      </c>
      <c r="B20" s="144"/>
      <c r="C20" s="154"/>
      <c r="D20" s="88"/>
      <c r="E20" s="153">
        <f t="shared" si="0"/>
        <v>0</v>
      </c>
      <c r="F20" s="9"/>
    </row>
    <row r="21" spans="1:6" s="28" customFormat="1" ht="30">
      <c r="A21" s="159" t="s">
        <v>253</v>
      </c>
      <c r="B21" s="144" t="s">
        <v>464</v>
      </c>
      <c r="C21" s="154"/>
      <c r="D21" s="88"/>
      <c r="E21" s="153">
        <f t="shared" si="0"/>
        <v>0</v>
      </c>
      <c r="F21" s="9"/>
    </row>
    <row r="22" spans="1:6" s="28" customFormat="1" ht="36.75" customHeight="1">
      <c r="A22" s="159" t="s">
        <v>515</v>
      </c>
      <c r="B22" s="144" t="s">
        <v>465</v>
      </c>
      <c r="C22" s="154"/>
      <c r="D22" s="183"/>
      <c r="E22" s="153">
        <f t="shared" si="0"/>
        <v>0</v>
      </c>
      <c r="F22" s="9"/>
    </row>
    <row r="23" spans="1:6" s="28" customFormat="1" ht="31.5" customHeight="1">
      <c r="A23" s="159" t="s">
        <v>189</v>
      </c>
      <c r="B23" s="144" t="s">
        <v>466</v>
      </c>
      <c r="C23" s="154"/>
      <c r="D23" s="88"/>
      <c r="E23" s="153">
        <f t="shared" si="0"/>
        <v>0</v>
      </c>
      <c r="F23" s="9"/>
    </row>
    <row r="24" spans="1:6" s="28" customFormat="1" ht="36" customHeight="1">
      <c r="A24" s="159" t="s">
        <v>58</v>
      </c>
      <c r="B24" s="144" t="s">
        <v>467</v>
      </c>
      <c r="C24" s="154"/>
      <c r="D24" s="88"/>
      <c r="E24" s="153">
        <f t="shared" si="0"/>
        <v>0</v>
      </c>
      <c r="F24" s="9"/>
    </row>
    <row r="25" spans="1:6" s="28" customFormat="1" ht="22.5" customHeight="1">
      <c r="A25" s="159" t="s">
        <v>190</v>
      </c>
      <c r="B25" s="144" t="s">
        <v>467</v>
      </c>
      <c r="C25" s="154">
        <v>1.87</v>
      </c>
      <c r="D25" s="88">
        <v>32</v>
      </c>
      <c r="E25" s="153">
        <f t="shared" si="0"/>
        <v>59.84</v>
      </c>
      <c r="F25" s="9"/>
    </row>
    <row r="26" spans="1:6" s="28" customFormat="1" ht="22.5" customHeight="1">
      <c r="A26" s="159" t="s">
        <v>427</v>
      </c>
      <c r="B26" s="144" t="s">
        <v>467</v>
      </c>
      <c r="C26" s="154"/>
      <c r="D26" s="88"/>
      <c r="E26" s="153">
        <f t="shared" si="0"/>
        <v>0</v>
      </c>
      <c r="F26" s="9"/>
    </row>
    <row r="27" spans="1:6" s="28" customFormat="1" ht="22.5" customHeight="1">
      <c r="A27" s="159" t="s">
        <v>191</v>
      </c>
      <c r="B27" s="145" t="s">
        <v>467</v>
      </c>
      <c r="C27" s="154">
        <v>0.36</v>
      </c>
      <c r="D27" s="88">
        <v>32</v>
      </c>
      <c r="E27" s="153">
        <f t="shared" si="0"/>
        <v>11.52</v>
      </c>
      <c r="F27" s="9"/>
    </row>
    <row r="28" spans="1:6" s="28" customFormat="1" ht="15">
      <c r="A28" s="159" t="s">
        <v>192</v>
      </c>
      <c r="B28" s="145" t="s">
        <v>468</v>
      </c>
      <c r="C28" s="154"/>
      <c r="D28" s="88"/>
      <c r="E28" s="153">
        <f t="shared" si="0"/>
        <v>0</v>
      </c>
      <c r="F28" s="9"/>
    </row>
    <row r="29" spans="1:6" s="28" customFormat="1" ht="24" customHeight="1">
      <c r="A29" s="159" t="s">
        <v>516</v>
      </c>
      <c r="B29" s="151" t="s">
        <v>469</v>
      </c>
      <c r="C29" s="151"/>
      <c r="D29" s="88"/>
      <c r="E29" s="153">
        <f t="shared" si="0"/>
        <v>0</v>
      </c>
      <c r="F29" s="9"/>
    </row>
    <row r="30" spans="1:6" s="28" customFormat="1" ht="15">
      <c r="A30" s="159" t="s">
        <v>193</v>
      </c>
      <c r="B30" s="145" t="s">
        <v>469</v>
      </c>
      <c r="C30" s="154"/>
      <c r="D30" s="88"/>
      <c r="E30" s="153">
        <f t="shared" si="0"/>
        <v>0</v>
      </c>
      <c r="F30" s="9"/>
    </row>
    <row r="31" spans="1:6" s="28" customFormat="1" ht="15">
      <c r="A31" s="159" t="s">
        <v>517</v>
      </c>
      <c r="B31" s="144" t="s">
        <v>470</v>
      </c>
      <c r="C31" s="154"/>
      <c r="D31" s="88"/>
      <c r="E31" s="153">
        <f t="shared" si="0"/>
        <v>0</v>
      </c>
      <c r="F31" s="9"/>
    </row>
    <row r="32" spans="1:6" s="28" customFormat="1" ht="15">
      <c r="A32" s="161" t="s">
        <v>406</v>
      </c>
      <c r="B32" s="144"/>
      <c r="C32" s="154"/>
      <c r="D32" s="88"/>
      <c r="E32" s="153">
        <f t="shared" si="0"/>
        <v>0</v>
      </c>
      <c r="F32" s="29"/>
    </row>
    <row r="33" spans="1:6" s="28" customFormat="1" ht="30">
      <c r="A33" s="159" t="s">
        <v>429</v>
      </c>
      <c r="B33" s="144" t="s">
        <v>471</v>
      </c>
      <c r="C33" s="154"/>
      <c r="D33" s="88"/>
      <c r="E33" s="153">
        <f t="shared" si="0"/>
        <v>0</v>
      </c>
      <c r="F33" s="29"/>
    </row>
    <row r="34" spans="1:5" s="28" customFormat="1" ht="30">
      <c r="A34" s="159" t="s">
        <v>408</v>
      </c>
      <c r="B34" s="144" t="s">
        <v>471</v>
      </c>
      <c r="C34" s="154"/>
      <c r="D34" s="88"/>
      <c r="E34" s="153">
        <f t="shared" si="0"/>
        <v>0</v>
      </c>
    </row>
    <row r="35" spans="1:5" s="28" customFormat="1" ht="30">
      <c r="A35" s="159" t="s">
        <v>197</v>
      </c>
      <c r="B35" s="144" t="s">
        <v>472</v>
      </c>
      <c r="C35" s="154"/>
      <c r="D35" s="88"/>
      <c r="E35" s="153">
        <f t="shared" si="0"/>
        <v>0</v>
      </c>
    </row>
    <row r="36" spans="1:5" s="28" customFormat="1" ht="36.75" customHeight="1">
      <c r="A36" s="159" t="s">
        <v>198</v>
      </c>
      <c r="B36" s="144" t="s">
        <v>473</v>
      </c>
      <c r="C36" s="154"/>
      <c r="D36" s="88"/>
      <c r="E36" s="153">
        <f t="shared" si="0"/>
        <v>0</v>
      </c>
    </row>
    <row r="37" spans="1:5" s="28" customFormat="1" ht="15.75">
      <c r="A37" s="159" t="s">
        <v>518</v>
      </c>
      <c r="B37" s="109" t="s">
        <v>474</v>
      </c>
      <c r="C37" s="169"/>
      <c r="D37" s="88"/>
      <c r="E37" s="153">
        <f t="shared" si="0"/>
        <v>0</v>
      </c>
    </row>
    <row r="38" spans="1:5" s="28" customFormat="1" ht="15">
      <c r="A38" s="159" t="s">
        <v>409</v>
      </c>
      <c r="B38" s="144" t="s">
        <v>475</v>
      </c>
      <c r="C38" s="154"/>
      <c r="D38" s="88"/>
      <c r="E38" s="153">
        <f t="shared" si="0"/>
        <v>0</v>
      </c>
    </row>
    <row r="39" spans="1:5" s="28" customFormat="1" ht="14.25">
      <c r="A39" s="162" t="s">
        <v>405</v>
      </c>
      <c r="B39" s="144"/>
      <c r="C39" s="154"/>
      <c r="D39" s="88"/>
      <c r="E39" s="153">
        <f t="shared" si="0"/>
        <v>0</v>
      </c>
    </row>
    <row r="40" spans="1:5" s="28" customFormat="1" ht="15">
      <c r="A40" s="159" t="s">
        <v>204</v>
      </c>
      <c r="B40" s="144" t="s">
        <v>476</v>
      </c>
      <c r="C40" s="154"/>
      <c r="D40" s="88"/>
      <c r="E40" s="153">
        <f t="shared" si="0"/>
        <v>0</v>
      </c>
    </row>
    <row r="41" spans="1:5" s="28" customFormat="1" ht="15">
      <c r="A41" s="159" t="s">
        <v>258</v>
      </c>
      <c r="B41" s="144" t="s">
        <v>477</v>
      </c>
      <c r="C41" s="154"/>
      <c r="D41" s="88"/>
      <c r="E41" s="153">
        <f t="shared" si="0"/>
        <v>0</v>
      </c>
    </row>
    <row r="42" spans="1:5" s="28" customFormat="1" ht="15.75">
      <c r="A42" s="159" t="s">
        <v>430</v>
      </c>
      <c r="B42" s="187" t="s">
        <v>511</v>
      </c>
      <c r="C42" s="170"/>
      <c r="D42" s="88"/>
      <c r="E42" s="153">
        <f t="shared" si="0"/>
        <v>0</v>
      </c>
    </row>
    <row r="43" spans="1:6" s="28" customFormat="1" ht="15">
      <c r="A43" s="159" t="s">
        <v>410</v>
      </c>
      <c r="B43" s="155" t="s">
        <v>152</v>
      </c>
      <c r="C43" s="154"/>
      <c r="D43" s="88"/>
      <c r="E43" s="153">
        <f t="shared" si="0"/>
        <v>0</v>
      </c>
      <c r="F43" s="150"/>
    </row>
    <row r="44" spans="1:6" s="28" customFormat="1" ht="15">
      <c r="A44" s="161" t="s">
        <v>206</v>
      </c>
      <c r="B44" s="146"/>
      <c r="C44" s="154"/>
      <c r="D44" s="88"/>
      <c r="E44" s="153">
        <f t="shared" si="0"/>
        <v>0</v>
      </c>
      <c r="F44" s="150"/>
    </row>
    <row r="45" spans="1:5" s="28" customFormat="1" ht="15">
      <c r="A45" s="159" t="s">
        <v>512</v>
      </c>
      <c r="B45" s="146" t="s">
        <v>33</v>
      </c>
      <c r="C45" s="154"/>
      <c r="D45" s="88"/>
      <c r="E45" s="153">
        <f t="shared" si="0"/>
        <v>0</v>
      </c>
    </row>
    <row r="46" spans="1:5" s="28" customFormat="1" ht="24.75" customHeight="1">
      <c r="A46" s="159" t="s">
        <v>520</v>
      </c>
      <c r="B46" s="144" t="s">
        <v>479</v>
      </c>
      <c r="C46" s="154"/>
      <c r="D46" s="163"/>
      <c r="E46" s="153">
        <f t="shared" si="0"/>
        <v>0</v>
      </c>
    </row>
    <row r="47" spans="1:5" s="28" customFormat="1" ht="15">
      <c r="A47" s="159" t="s">
        <v>431</v>
      </c>
      <c r="B47" s="146" t="s">
        <v>480</v>
      </c>
      <c r="C47" s="154"/>
      <c r="D47" s="163"/>
      <c r="E47" s="153">
        <f t="shared" si="0"/>
        <v>0</v>
      </c>
    </row>
    <row r="48" spans="1:5" s="28" customFormat="1" ht="15">
      <c r="A48" s="159" t="s">
        <v>208</v>
      </c>
      <c r="B48" s="144" t="s">
        <v>481</v>
      </c>
      <c r="C48" s="154"/>
      <c r="D48" s="88"/>
      <c r="E48" s="153">
        <f t="shared" si="0"/>
        <v>0</v>
      </c>
    </row>
    <row r="49" spans="1:5" ht="16.5" customHeight="1">
      <c r="A49" s="159" t="s">
        <v>519</v>
      </c>
      <c r="B49" s="144" t="s">
        <v>482</v>
      </c>
      <c r="C49" s="154"/>
      <c r="D49" s="88"/>
      <c r="E49" s="153">
        <f t="shared" si="0"/>
        <v>0</v>
      </c>
    </row>
    <row r="50" spans="1:5" ht="30">
      <c r="A50" s="159" t="s">
        <v>433</v>
      </c>
      <c r="B50" s="146" t="s">
        <v>483</v>
      </c>
      <c r="C50" s="154"/>
      <c r="D50" s="88"/>
      <c r="E50" s="153">
        <f t="shared" si="0"/>
        <v>0</v>
      </c>
    </row>
    <row r="51" spans="1:5" ht="19.5" customHeight="1">
      <c r="A51" s="159" t="s">
        <v>434</v>
      </c>
      <c r="B51" s="144" t="s">
        <v>484</v>
      </c>
      <c r="C51" s="154"/>
      <c r="D51" s="88"/>
      <c r="E51" s="153">
        <f t="shared" si="0"/>
        <v>0</v>
      </c>
    </row>
    <row r="52" spans="1:5" ht="20.25" customHeight="1">
      <c r="A52" s="159" t="s">
        <v>212</v>
      </c>
      <c r="B52" s="144" t="s">
        <v>485</v>
      </c>
      <c r="C52" s="154"/>
      <c r="D52" s="88"/>
      <c r="E52" s="153">
        <f t="shared" si="0"/>
        <v>0</v>
      </c>
    </row>
    <row r="53" spans="1:5" ht="20.25" customHeight="1">
      <c r="A53" s="159" t="s">
        <v>435</v>
      </c>
      <c r="B53" s="144" t="s">
        <v>486</v>
      </c>
      <c r="C53" s="154"/>
      <c r="D53" s="88"/>
      <c r="E53" s="153">
        <f t="shared" si="0"/>
        <v>0</v>
      </c>
    </row>
    <row r="54" spans="1:5" ht="24" customHeight="1">
      <c r="A54" s="159" t="s">
        <v>436</v>
      </c>
      <c r="B54" s="144" t="s">
        <v>487</v>
      </c>
      <c r="C54" s="154"/>
      <c r="D54" s="88"/>
      <c r="E54" s="153">
        <f t="shared" si="0"/>
        <v>0</v>
      </c>
    </row>
    <row r="55" spans="1:5" ht="29.25" customHeight="1">
      <c r="A55" s="159" t="s">
        <v>437</v>
      </c>
      <c r="B55" s="144" t="s">
        <v>488</v>
      </c>
      <c r="C55" s="154"/>
      <c r="D55" s="163"/>
      <c r="E55" s="153">
        <f t="shared" si="0"/>
        <v>0</v>
      </c>
    </row>
    <row r="56" spans="1:5" ht="20.25" customHeight="1">
      <c r="A56" s="159" t="s">
        <v>438</v>
      </c>
      <c r="B56" s="144" t="s">
        <v>489</v>
      </c>
      <c r="C56" s="154"/>
      <c r="D56" s="88"/>
      <c r="E56" s="153">
        <f t="shared" si="0"/>
        <v>0</v>
      </c>
    </row>
    <row r="57" spans="1:5" ht="20.25" customHeight="1">
      <c r="A57" s="159" t="s">
        <v>439</v>
      </c>
      <c r="B57" s="144" t="s">
        <v>490</v>
      </c>
      <c r="C57" s="154"/>
      <c r="D57" s="88"/>
      <c r="E57" s="153">
        <f t="shared" si="0"/>
        <v>0</v>
      </c>
    </row>
    <row r="58" spans="1:5" ht="20.25" customHeight="1">
      <c r="A58" s="159" t="s">
        <v>440</v>
      </c>
      <c r="B58" s="144" t="s">
        <v>491</v>
      </c>
      <c r="C58" s="154"/>
      <c r="D58" s="88"/>
      <c r="E58" s="153">
        <f t="shared" si="0"/>
        <v>0</v>
      </c>
    </row>
    <row r="59" spans="1:5" ht="24.75" customHeight="1">
      <c r="A59" s="159" t="s">
        <v>63</v>
      </c>
      <c r="B59" s="144" t="s">
        <v>38</v>
      </c>
      <c r="C59" s="154"/>
      <c r="D59" s="88"/>
      <c r="E59" s="153">
        <f t="shared" si="0"/>
        <v>0</v>
      </c>
    </row>
    <row r="60" spans="1:5" ht="20.25" customHeight="1">
      <c r="A60" s="159" t="s">
        <v>64</v>
      </c>
      <c r="B60" s="144" t="s">
        <v>38</v>
      </c>
      <c r="C60" s="154"/>
      <c r="D60" s="88"/>
      <c r="E60" s="153">
        <f t="shared" si="0"/>
        <v>0</v>
      </c>
    </row>
    <row r="61" spans="1:5" ht="20.25" customHeight="1">
      <c r="A61" s="159" t="s">
        <v>65</v>
      </c>
      <c r="B61" s="144" t="s">
        <v>38</v>
      </c>
      <c r="C61" s="154"/>
      <c r="D61" s="88"/>
      <c r="E61" s="153">
        <f t="shared" si="0"/>
        <v>0</v>
      </c>
    </row>
    <row r="62" spans="1:5" ht="27" customHeight="1">
      <c r="A62" s="159" t="s">
        <v>66</v>
      </c>
      <c r="B62" s="144" t="s">
        <v>38</v>
      </c>
      <c r="C62" s="154"/>
      <c r="D62" s="88"/>
      <c r="E62" s="153">
        <f t="shared" si="0"/>
        <v>0</v>
      </c>
    </row>
    <row r="63" spans="1:5" ht="35.25" customHeight="1">
      <c r="A63" s="159" t="s">
        <v>217</v>
      </c>
      <c r="B63" s="144" t="s">
        <v>492</v>
      </c>
      <c r="C63" s="154"/>
      <c r="D63" s="88"/>
      <c r="E63" s="153">
        <f t="shared" si="0"/>
        <v>0</v>
      </c>
    </row>
    <row r="64" spans="1:5" ht="35.25" customHeight="1">
      <c r="A64" s="159" t="s">
        <v>588</v>
      </c>
      <c r="B64" s="144"/>
      <c r="C64" s="154">
        <v>17.9</v>
      </c>
      <c r="D64" s="88">
        <v>1</v>
      </c>
      <c r="E64" s="153">
        <f t="shared" si="0"/>
        <v>17.9</v>
      </c>
    </row>
    <row r="65" spans="1:5" ht="19.5" customHeight="1">
      <c r="A65" s="159" t="s">
        <v>441</v>
      </c>
      <c r="B65" s="144" t="s">
        <v>493</v>
      </c>
      <c r="C65" s="154">
        <v>4.75</v>
      </c>
      <c r="D65" s="88">
        <v>1</v>
      </c>
      <c r="E65" s="153">
        <f t="shared" si="0"/>
        <v>4.75</v>
      </c>
    </row>
    <row r="66" spans="1:5" ht="15" customHeight="1">
      <c r="A66" s="159" t="s">
        <v>442</v>
      </c>
      <c r="B66" s="111" t="s">
        <v>494</v>
      </c>
      <c r="C66" s="154"/>
      <c r="D66" s="88"/>
      <c r="E66" s="153">
        <f t="shared" si="0"/>
        <v>0</v>
      </c>
    </row>
    <row r="67" spans="1:5" ht="15">
      <c r="A67" s="159" t="s">
        <v>219</v>
      </c>
      <c r="B67" s="111" t="s">
        <v>38</v>
      </c>
      <c r="C67" s="154"/>
      <c r="D67" s="88"/>
      <c r="E67" s="153">
        <f t="shared" si="0"/>
        <v>0</v>
      </c>
    </row>
    <row r="68" spans="1:5" ht="15">
      <c r="A68" s="159" t="s">
        <v>401</v>
      </c>
      <c r="B68" s="111" t="s">
        <v>495</v>
      </c>
      <c r="C68" s="154"/>
      <c r="D68" s="88"/>
      <c r="E68" s="153">
        <f t="shared" si="0"/>
        <v>0</v>
      </c>
    </row>
    <row r="69" spans="1:5" ht="15">
      <c r="A69" s="159" t="s">
        <v>402</v>
      </c>
      <c r="B69" s="144" t="s">
        <v>38</v>
      </c>
      <c r="C69" s="154"/>
      <c r="D69" s="88"/>
      <c r="E69" s="153">
        <f t="shared" si="0"/>
        <v>0</v>
      </c>
    </row>
    <row r="70" spans="1:5" ht="15">
      <c r="A70" s="159" t="s">
        <v>403</v>
      </c>
      <c r="B70" s="111" t="s">
        <v>38</v>
      </c>
      <c r="C70" s="154"/>
      <c r="D70" s="88"/>
      <c r="E70" s="153">
        <f t="shared" si="0"/>
        <v>0</v>
      </c>
    </row>
    <row r="71" spans="1:5" ht="15">
      <c r="A71" s="159" t="s">
        <v>404</v>
      </c>
      <c r="B71" s="144" t="s">
        <v>38</v>
      </c>
      <c r="C71" s="154"/>
      <c r="D71" s="88"/>
      <c r="E71" s="153">
        <f t="shared" si="0"/>
        <v>0</v>
      </c>
    </row>
    <row r="72" spans="1:5" ht="15">
      <c r="A72" s="159" t="s">
        <v>224</v>
      </c>
      <c r="B72" s="144" t="s">
        <v>38</v>
      </c>
      <c r="C72" s="154"/>
      <c r="D72" s="88"/>
      <c r="E72" s="153">
        <f t="shared" si="0"/>
        <v>0</v>
      </c>
    </row>
    <row r="73" spans="1:5" ht="15">
      <c r="A73" s="159" t="s">
        <v>443</v>
      </c>
      <c r="B73" s="111" t="s">
        <v>38</v>
      </c>
      <c r="C73" s="154"/>
      <c r="D73" s="88"/>
      <c r="E73" s="153">
        <f t="shared" si="0"/>
        <v>0</v>
      </c>
    </row>
    <row r="74" spans="1:5" ht="15">
      <c r="A74" s="159" t="s">
        <v>226</v>
      </c>
      <c r="B74" s="144" t="s">
        <v>38</v>
      </c>
      <c r="C74" s="154"/>
      <c r="D74" s="88"/>
      <c r="E74" s="153">
        <f aca="true" t="shared" si="1" ref="E74:E105">ROUND(C74*D74,2)</f>
        <v>0</v>
      </c>
    </row>
    <row r="75" spans="1:5" ht="20.25" customHeight="1">
      <c r="A75" s="159" t="s">
        <v>227</v>
      </c>
      <c r="B75" s="144" t="s">
        <v>38</v>
      </c>
      <c r="C75" s="154">
        <v>34.02</v>
      </c>
      <c r="D75" s="88">
        <v>1</v>
      </c>
      <c r="E75" s="153">
        <f t="shared" si="1"/>
        <v>34.02</v>
      </c>
    </row>
    <row r="76" spans="1:5" ht="20.25" customHeight="1">
      <c r="A76" s="159" t="s">
        <v>228</v>
      </c>
      <c r="B76" s="144" t="s">
        <v>38</v>
      </c>
      <c r="C76" s="154"/>
      <c r="D76" s="88"/>
      <c r="E76" s="153">
        <f t="shared" si="1"/>
        <v>0</v>
      </c>
    </row>
    <row r="77" spans="1:5" ht="15">
      <c r="A77" s="159" t="s">
        <v>411</v>
      </c>
      <c r="B77" s="144" t="s">
        <v>38</v>
      </c>
      <c r="C77" s="154"/>
      <c r="D77" s="88"/>
      <c r="E77" s="153">
        <f t="shared" si="1"/>
        <v>0</v>
      </c>
    </row>
    <row r="78" spans="1:5" ht="15">
      <c r="A78" s="159" t="s">
        <v>444</v>
      </c>
      <c r="B78" s="111" t="s">
        <v>38</v>
      </c>
      <c r="C78" s="154"/>
      <c r="D78" s="88"/>
      <c r="E78" s="153">
        <f t="shared" si="1"/>
        <v>0</v>
      </c>
    </row>
    <row r="79" spans="1:5" ht="15">
      <c r="A79" s="159" t="s">
        <v>445</v>
      </c>
      <c r="B79" s="111" t="s">
        <v>38</v>
      </c>
      <c r="C79" s="154"/>
      <c r="D79" s="88"/>
      <c r="E79" s="153">
        <f t="shared" si="1"/>
        <v>0</v>
      </c>
    </row>
    <row r="80" spans="1:6" ht="21.75" customHeight="1">
      <c r="A80" s="159" t="s">
        <v>446</v>
      </c>
      <c r="B80" s="144" t="s">
        <v>38</v>
      </c>
      <c r="C80" s="154"/>
      <c r="D80" s="88"/>
      <c r="E80" s="153">
        <f t="shared" si="1"/>
        <v>0</v>
      </c>
      <c r="F80" s="142"/>
    </row>
    <row r="81" spans="1:5" ht="15">
      <c r="A81" s="159" t="s">
        <v>233</v>
      </c>
      <c r="B81" s="144" t="s">
        <v>38</v>
      </c>
      <c r="C81" s="154"/>
      <c r="D81" s="88"/>
      <c r="E81" s="153">
        <f t="shared" si="1"/>
        <v>0</v>
      </c>
    </row>
    <row r="82" spans="1:5" ht="15">
      <c r="A82" s="159" t="s">
        <v>447</v>
      </c>
      <c r="B82" s="144" t="s">
        <v>38</v>
      </c>
      <c r="C82" s="154"/>
      <c r="D82" s="88"/>
      <c r="E82" s="153">
        <f t="shared" si="1"/>
        <v>0</v>
      </c>
    </row>
    <row r="83" spans="1:5" ht="15">
      <c r="A83" s="159" t="s">
        <v>235</v>
      </c>
      <c r="B83" s="144" t="s">
        <v>496</v>
      </c>
      <c r="C83" s="154"/>
      <c r="D83" s="88"/>
      <c r="E83" s="153">
        <f t="shared" si="1"/>
        <v>0</v>
      </c>
    </row>
    <row r="84" spans="1:5" ht="15">
      <c r="A84" s="159" t="s">
        <v>235</v>
      </c>
      <c r="B84" s="144" t="s">
        <v>480</v>
      </c>
      <c r="C84" s="154"/>
      <c r="D84" s="88"/>
      <c r="E84" s="153">
        <f t="shared" si="1"/>
        <v>0</v>
      </c>
    </row>
    <row r="85" spans="1:5" ht="15">
      <c r="A85" s="159" t="s">
        <v>236</v>
      </c>
      <c r="B85" s="111" t="s">
        <v>38</v>
      </c>
      <c r="C85" s="154"/>
      <c r="D85" s="88"/>
      <c r="E85" s="153">
        <f t="shared" si="1"/>
        <v>0</v>
      </c>
    </row>
    <row r="86" spans="1:5" ht="15.75" customHeight="1">
      <c r="A86" s="159" t="s">
        <v>237</v>
      </c>
      <c r="B86" s="144" t="s">
        <v>38</v>
      </c>
      <c r="C86" s="154"/>
      <c r="D86" s="88"/>
      <c r="E86" s="153">
        <f t="shared" si="1"/>
        <v>0</v>
      </c>
    </row>
    <row r="87" spans="1:5" ht="16.5" customHeight="1">
      <c r="A87" s="159" t="s">
        <v>448</v>
      </c>
      <c r="B87" s="111" t="s">
        <v>497</v>
      </c>
      <c r="C87" s="154"/>
      <c r="D87" s="88"/>
      <c r="E87" s="153">
        <f t="shared" si="1"/>
        <v>0</v>
      </c>
    </row>
    <row r="88" spans="1:5" ht="15">
      <c r="A88" s="159" t="s">
        <v>449</v>
      </c>
      <c r="B88" s="111" t="s">
        <v>480</v>
      </c>
      <c r="C88" s="154"/>
      <c r="D88" s="88"/>
      <c r="E88" s="153">
        <f t="shared" si="1"/>
        <v>0</v>
      </c>
    </row>
    <row r="89" spans="1:5" ht="18" customHeight="1">
      <c r="A89" s="159" t="s">
        <v>450</v>
      </c>
      <c r="B89" s="111" t="s">
        <v>498</v>
      </c>
      <c r="C89" s="154"/>
      <c r="D89" s="88"/>
      <c r="E89" s="153">
        <f t="shared" si="1"/>
        <v>0</v>
      </c>
    </row>
    <row r="90" spans="1:5" ht="15">
      <c r="A90" s="159" t="s">
        <v>16</v>
      </c>
      <c r="B90" s="144" t="s">
        <v>38</v>
      </c>
      <c r="C90" s="154"/>
      <c r="D90" s="88"/>
      <c r="E90" s="153">
        <f t="shared" si="1"/>
        <v>0</v>
      </c>
    </row>
    <row r="91" spans="1:5" ht="20.25" customHeight="1">
      <c r="A91" s="159" t="s">
        <v>238</v>
      </c>
      <c r="B91" s="144" t="s">
        <v>38</v>
      </c>
      <c r="C91" s="154"/>
      <c r="D91" s="88"/>
      <c r="E91" s="153">
        <f t="shared" si="1"/>
        <v>0</v>
      </c>
    </row>
    <row r="92" spans="1:5" ht="20.25" customHeight="1">
      <c r="A92" s="159" t="s">
        <v>239</v>
      </c>
      <c r="B92" s="144" t="s">
        <v>38</v>
      </c>
      <c r="C92" s="154"/>
      <c r="D92" s="88"/>
      <c r="E92" s="153">
        <f t="shared" si="1"/>
        <v>0</v>
      </c>
    </row>
    <row r="93" spans="1:5" ht="20.25" customHeight="1">
      <c r="A93" s="159" t="s">
        <v>240</v>
      </c>
      <c r="B93" s="111" t="s">
        <v>38</v>
      </c>
      <c r="C93" s="154"/>
      <c r="D93" s="88"/>
      <c r="E93" s="153">
        <f t="shared" si="1"/>
        <v>0</v>
      </c>
    </row>
    <row r="94" spans="1:5" ht="20.25" customHeight="1">
      <c r="A94" s="159" t="s">
        <v>241</v>
      </c>
      <c r="B94" s="144" t="s">
        <v>38</v>
      </c>
      <c r="C94" s="154"/>
      <c r="D94" s="88"/>
      <c r="E94" s="153">
        <f t="shared" si="1"/>
        <v>0</v>
      </c>
    </row>
    <row r="95" spans="1:5" ht="15.75">
      <c r="A95" s="159" t="s">
        <v>451</v>
      </c>
      <c r="B95" s="151" t="s">
        <v>480</v>
      </c>
      <c r="C95" s="171"/>
      <c r="D95" s="88"/>
      <c r="E95" s="153">
        <f t="shared" si="1"/>
        <v>0</v>
      </c>
    </row>
    <row r="96" spans="1:5" ht="15">
      <c r="A96" s="159" t="s">
        <v>452</v>
      </c>
      <c r="B96" s="146" t="s">
        <v>499</v>
      </c>
      <c r="C96" s="154"/>
      <c r="D96" s="163"/>
      <c r="E96" s="153">
        <f t="shared" si="1"/>
        <v>0</v>
      </c>
    </row>
    <row r="97" spans="1:5" ht="15">
      <c r="A97" s="159" t="s">
        <v>453</v>
      </c>
      <c r="B97" s="146" t="s">
        <v>500</v>
      </c>
      <c r="C97" s="154"/>
      <c r="D97" s="88"/>
      <c r="E97" s="153">
        <f t="shared" si="1"/>
        <v>0</v>
      </c>
    </row>
    <row r="98" spans="1:5" ht="15">
      <c r="A98" s="159" t="s">
        <v>454</v>
      </c>
      <c r="B98" s="146" t="s">
        <v>501</v>
      </c>
      <c r="C98" s="154">
        <v>3.645</v>
      </c>
      <c r="D98" s="88">
        <v>4</v>
      </c>
      <c r="E98" s="153">
        <f t="shared" si="1"/>
        <v>14.58</v>
      </c>
    </row>
    <row r="99" spans="1:5" ht="21" customHeight="1">
      <c r="A99" s="159" t="s">
        <v>242</v>
      </c>
      <c r="B99" s="35" t="s">
        <v>38</v>
      </c>
      <c r="C99" s="35"/>
      <c r="D99" s="88"/>
      <c r="E99" s="153">
        <f t="shared" si="1"/>
        <v>0</v>
      </c>
    </row>
    <row r="100" spans="1:5" ht="21" customHeight="1">
      <c r="A100" s="194" t="s">
        <v>513</v>
      </c>
      <c r="B100" s="35" t="s">
        <v>38</v>
      </c>
      <c r="C100" s="35">
        <v>45.9</v>
      </c>
      <c r="D100" s="88">
        <v>1</v>
      </c>
      <c r="E100" s="153">
        <f t="shared" si="1"/>
        <v>45.9</v>
      </c>
    </row>
    <row r="101" spans="1:5" ht="32.25" customHeight="1">
      <c r="A101" s="161" t="s">
        <v>243</v>
      </c>
      <c r="B101" s="35"/>
      <c r="C101" s="35"/>
      <c r="D101" s="88"/>
      <c r="E101" s="153">
        <f t="shared" si="1"/>
        <v>0</v>
      </c>
    </row>
    <row r="102" spans="1:5" ht="15">
      <c r="A102" s="159" t="s">
        <v>456</v>
      </c>
      <c r="B102" s="35" t="s">
        <v>502</v>
      </c>
      <c r="C102" s="35"/>
      <c r="D102" s="88"/>
      <c r="E102" s="153">
        <f t="shared" si="1"/>
        <v>0</v>
      </c>
    </row>
    <row r="103" spans="1:5" ht="15">
      <c r="A103" s="159" t="s">
        <v>457</v>
      </c>
      <c r="B103" s="35" t="s">
        <v>502</v>
      </c>
      <c r="C103" s="35"/>
      <c r="D103" s="88"/>
      <c r="E103" s="153">
        <f t="shared" si="1"/>
        <v>0</v>
      </c>
    </row>
    <row r="104" spans="1:5" ht="15">
      <c r="A104" s="159" t="s">
        <v>458</v>
      </c>
      <c r="B104" s="35" t="s">
        <v>503</v>
      </c>
      <c r="C104" s="35"/>
      <c r="D104" s="88"/>
      <c r="E104" s="153">
        <f t="shared" si="1"/>
        <v>0</v>
      </c>
    </row>
    <row r="105" spans="2:5" ht="14.25">
      <c r="B105" s="35"/>
      <c r="C105" s="35"/>
      <c r="D105" s="35"/>
      <c r="E105" s="153">
        <f t="shared" si="1"/>
        <v>0</v>
      </c>
    </row>
    <row r="106" spans="1:5" ht="15">
      <c r="A106" s="63" t="s">
        <v>572</v>
      </c>
      <c r="B106" s="35"/>
      <c r="C106" s="35"/>
      <c r="D106" s="35"/>
      <c r="E106" s="177">
        <f>SUM(E8:E105)-E46</f>
        <v>1043.51</v>
      </c>
    </row>
    <row r="107" spans="1:5" ht="15">
      <c r="A107" s="178" t="s">
        <v>505</v>
      </c>
      <c r="B107" s="35"/>
      <c r="C107" s="35"/>
      <c r="D107" s="35"/>
      <c r="E107" s="179">
        <f>E106*22%</f>
        <v>229.5722</v>
      </c>
    </row>
    <row r="108" spans="1:5" ht="15">
      <c r="A108" s="63" t="s">
        <v>573</v>
      </c>
      <c r="B108" s="35"/>
      <c r="C108" s="35"/>
      <c r="D108" s="35"/>
      <c r="E108" s="179">
        <f>E46</f>
        <v>0</v>
      </c>
    </row>
    <row r="109" spans="1:5" ht="15">
      <c r="A109" s="178" t="s">
        <v>574</v>
      </c>
      <c r="B109" s="35"/>
      <c r="C109" s="35"/>
      <c r="D109" s="35"/>
      <c r="E109" s="179">
        <f>E108*5%</f>
        <v>0</v>
      </c>
    </row>
    <row r="110" spans="1:5" ht="15">
      <c r="A110" s="180" t="s">
        <v>504</v>
      </c>
      <c r="B110" s="35"/>
      <c r="C110" s="35"/>
      <c r="D110" s="35"/>
      <c r="E110" s="179">
        <f>SUM(E106:E109)</f>
        <v>1273.0822</v>
      </c>
    </row>
  </sheetData>
  <sheetProtection/>
  <mergeCells count="5">
    <mergeCell ref="A1:F1"/>
    <mergeCell ref="A2:F2"/>
    <mergeCell ref="A3:F3"/>
    <mergeCell ref="A4:A6"/>
    <mergeCell ref="B4:E4"/>
  </mergeCells>
  <printOptions horizontalCentered="1" verticalCentered="1"/>
  <pageMargins left="0.1968503937007874" right="0.1968503937007874" top="0.7874015748031497" bottom="0.7874015748031497" header="0.2362204724409449" footer="0.15748031496062992"/>
  <pageSetup fitToHeight="2" fitToWidth="1" horizontalDpi="600" verticalDpi="600" orientation="portrait" paperSize="9" scale="42" r:id="rId1"/>
  <rowBreaks count="1" manualBreakCount="1">
    <brk id="47" max="5" man="1"/>
  </rowBreak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110"/>
  <sheetViews>
    <sheetView zoomScalePageLayoutView="0" workbookViewId="0" topLeftCell="A76">
      <selection activeCell="D104" sqref="D104"/>
    </sheetView>
  </sheetViews>
  <sheetFormatPr defaultColWidth="9.140625" defaultRowHeight="12.75"/>
  <cols>
    <col min="1" max="1" width="65.00390625" style="0" bestFit="1" customWidth="1"/>
    <col min="2" max="2" width="25.140625" style="0" bestFit="1" customWidth="1"/>
    <col min="3" max="3" width="7.57421875" style="0" customWidth="1"/>
    <col min="5" max="5" width="10.57421875" style="0" customWidth="1"/>
    <col min="6" max="6" width="0.13671875" style="0" customWidth="1"/>
  </cols>
  <sheetData>
    <row r="2" spans="1:6" ht="12.75">
      <c r="A2" s="202" t="s">
        <v>414</v>
      </c>
      <c r="B2" s="202"/>
      <c r="C2" s="202"/>
      <c r="D2" s="202"/>
      <c r="E2" s="202"/>
      <c r="F2" s="202"/>
    </row>
    <row r="3" spans="1:6" ht="13.5" thickBot="1">
      <c r="A3" s="203" t="s">
        <v>560</v>
      </c>
      <c r="B3" s="203"/>
      <c r="C3" s="201"/>
      <c r="D3" s="201"/>
      <c r="E3" s="201"/>
      <c r="F3" s="201"/>
    </row>
    <row r="4" spans="1:6" ht="12.75">
      <c r="A4" s="204" t="s">
        <v>0</v>
      </c>
      <c r="B4" s="206" t="s">
        <v>420</v>
      </c>
      <c r="C4" s="207"/>
      <c r="D4" s="207"/>
      <c r="E4" s="208"/>
      <c r="F4" s="10"/>
    </row>
    <row r="5" spans="1:6" ht="38.25">
      <c r="A5" s="205"/>
      <c r="B5" s="193" t="s">
        <v>563</v>
      </c>
      <c r="C5" s="148" t="s">
        <v>413</v>
      </c>
      <c r="D5" s="147" t="s">
        <v>412</v>
      </c>
      <c r="E5" s="69" t="s">
        <v>416</v>
      </c>
      <c r="F5" s="11"/>
    </row>
    <row r="6" spans="1:6" ht="30">
      <c r="A6" s="158" t="s">
        <v>400</v>
      </c>
      <c r="B6" s="151"/>
      <c r="C6" s="151"/>
      <c r="D6" s="151"/>
      <c r="E6" s="151"/>
      <c r="F6" s="9"/>
    </row>
    <row r="7" spans="1:6" ht="45">
      <c r="A7" s="159" t="s">
        <v>178</v>
      </c>
      <c r="B7" s="144" t="s">
        <v>459</v>
      </c>
      <c r="C7" s="154">
        <v>1.72</v>
      </c>
      <c r="D7" s="88">
        <v>20</v>
      </c>
      <c r="E7" s="153">
        <f>ROUND(C7*D7,2)</f>
        <v>34.4</v>
      </c>
      <c r="F7" s="9"/>
    </row>
    <row r="8" spans="1:6" ht="59.25">
      <c r="A8" s="160" t="s">
        <v>422</v>
      </c>
      <c r="B8" s="144" t="s">
        <v>460</v>
      </c>
      <c r="C8" s="154">
        <v>7.2</v>
      </c>
      <c r="D8" s="88">
        <v>60</v>
      </c>
      <c r="E8" s="153">
        <f aca="true" t="shared" si="0" ref="E8:E72">ROUND(C8*D8,2)</f>
        <v>432</v>
      </c>
      <c r="F8" s="9"/>
    </row>
    <row r="9" spans="1:6" ht="15">
      <c r="A9" s="159" t="s">
        <v>521</v>
      </c>
      <c r="B9" s="144">
        <v>3000</v>
      </c>
      <c r="C9" s="154"/>
      <c r="D9" s="163"/>
      <c r="E9" s="153">
        <f t="shared" si="0"/>
        <v>0</v>
      </c>
      <c r="F9" s="9"/>
    </row>
    <row r="10" spans="1:6" ht="15">
      <c r="A10" s="159" t="s">
        <v>423</v>
      </c>
      <c r="B10" s="104" t="s">
        <v>38</v>
      </c>
      <c r="C10" s="154"/>
      <c r="D10" s="88"/>
      <c r="E10" s="153">
        <f t="shared" si="0"/>
        <v>0</v>
      </c>
      <c r="F10" s="9"/>
    </row>
    <row r="11" spans="1:6" ht="15">
      <c r="A11" s="159" t="s">
        <v>183</v>
      </c>
      <c r="B11" s="104" t="s">
        <v>38</v>
      </c>
      <c r="C11" s="154">
        <v>17.99</v>
      </c>
      <c r="D11" s="88">
        <v>4</v>
      </c>
      <c r="E11" s="153">
        <f t="shared" si="0"/>
        <v>71.96</v>
      </c>
      <c r="F11" s="9"/>
    </row>
    <row r="12" spans="1:6" ht="15">
      <c r="A12" s="159" t="s">
        <v>184</v>
      </c>
      <c r="B12" s="104" t="s">
        <v>38</v>
      </c>
      <c r="C12" s="154"/>
      <c r="D12" s="88"/>
      <c r="E12" s="153">
        <f t="shared" si="0"/>
        <v>0</v>
      </c>
      <c r="F12" s="9"/>
    </row>
    <row r="13" spans="1:6" ht="30">
      <c r="A13" s="159" t="s">
        <v>424</v>
      </c>
      <c r="B13" s="104" t="s">
        <v>461</v>
      </c>
      <c r="C13" s="154"/>
      <c r="D13" s="88"/>
      <c r="E13" s="153">
        <f t="shared" si="0"/>
        <v>0</v>
      </c>
      <c r="F13" s="9"/>
    </row>
    <row r="14" spans="1:6" ht="15">
      <c r="A14" s="159" t="s">
        <v>185</v>
      </c>
      <c r="B14" s="104" t="s">
        <v>462</v>
      </c>
      <c r="C14" s="154"/>
      <c r="D14" s="88"/>
      <c r="E14" s="153">
        <f t="shared" si="0"/>
        <v>0</v>
      </c>
      <c r="F14" s="9"/>
    </row>
    <row r="15" spans="1:6" ht="30">
      <c r="A15" s="159" t="s">
        <v>425</v>
      </c>
      <c r="B15" s="104" t="s">
        <v>463</v>
      </c>
      <c r="C15" s="154"/>
      <c r="D15" s="88"/>
      <c r="E15" s="153">
        <f t="shared" si="0"/>
        <v>0</v>
      </c>
      <c r="F15" s="9"/>
    </row>
    <row r="16" spans="1:6" ht="30">
      <c r="A16" s="159" t="s">
        <v>522</v>
      </c>
      <c r="B16" s="187" t="s">
        <v>510</v>
      </c>
      <c r="C16" s="187"/>
      <c r="D16" s="88"/>
      <c r="E16" s="153">
        <f t="shared" si="0"/>
        <v>0</v>
      </c>
      <c r="F16" s="9"/>
    </row>
    <row r="17" spans="1:6" ht="15">
      <c r="A17" s="159" t="s">
        <v>186</v>
      </c>
      <c r="B17" s="144" t="s">
        <v>38</v>
      </c>
      <c r="C17" s="154"/>
      <c r="D17" s="88"/>
      <c r="E17" s="153">
        <f t="shared" si="0"/>
        <v>0</v>
      </c>
      <c r="F17" s="9"/>
    </row>
    <row r="18" spans="1:6" ht="15">
      <c r="A18" s="159" t="s">
        <v>187</v>
      </c>
      <c r="B18" s="144" t="s">
        <v>38</v>
      </c>
      <c r="C18" s="154"/>
      <c r="D18" s="88"/>
      <c r="E18" s="153">
        <f t="shared" si="0"/>
        <v>0</v>
      </c>
      <c r="F18" s="9"/>
    </row>
    <row r="19" spans="1:6" ht="15">
      <c r="A19" s="172" t="s">
        <v>188</v>
      </c>
      <c r="B19" s="144"/>
      <c r="C19" s="154"/>
      <c r="D19" s="88"/>
      <c r="E19" s="153">
        <f t="shared" si="0"/>
        <v>0</v>
      </c>
      <c r="F19" s="9"/>
    </row>
    <row r="20" spans="1:6" ht="45">
      <c r="A20" s="159" t="s">
        <v>552</v>
      </c>
      <c r="B20" s="144" t="s">
        <v>464</v>
      </c>
      <c r="C20" s="154"/>
      <c r="D20" s="88"/>
      <c r="E20" s="153">
        <f t="shared" si="0"/>
        <v>0</v>
      </c>
      <c r="F20" s="9"/>
    </row>
    <row r="21" spans="1:6" ht="35.25" customHeight="1">
      <c r="A21" s="159" t="s">
        <v>551</v>
      </c>
      <c r="B21" s="144" t="s">
        <v>465</v>
      </c>
      <c r="C21" s="154"/>
      <c r="D21" s="88"/>
      <c r="E21" s="153">
        <f t="shared" si="0"/>
        <v>0</v>
      </c>
      <c r="F21" s="9"/>
    </row>
    <row r="22" spans="1:6" ht="30">
      <c r="A22" s="159" t="s">
        <v>189</v>
      </c>
      <c r="B22" s="144" t="s">
        <v>466</v>
      </c>
      <c r="C22" s="154"/>
      <c r="D22" s="88"/>
      <c r="E22" s="153">
        <f t="shared" si="0"/>
        <v>0</v>
      </c>
      <c r="F22" s="9"/>
    </row>
    <row r="23" spans="1:6" ht="30" customHeight="1">
      <c r="A23" s="159" t="s">
        <v>58</v>
      </c>
      <c r="B23" s="144" t="s">
        <v>467</v>
      </c>
      <c r="C23" s="154"/>
      <c r="D23" s="88"/>
      <c r="E23" s="153">
        <f t="shared" si="0"/>
        <v>0</v>
      </c>
      <c r="F23" s="9"/>
    </row>
    <row r="24" spans="1:6" ht="20.25" customHeight="1">
      <c r="A24" s="159" t="s">
        <v>549</v>
      </c>
      <c r="B24" s="144" t="s">
        <v>467</v>
      </c>
      <c r="C24" s="154">
        <v>1.87</v>
      </c>
      <c r="D24" s="88">
        <v>50</v>
      </c>
      <c r="E24" s="153">
        <f t="shared" si="0"/>
        <v>93.5</v>
      </c>
      <c r="F24" s="9"/>
    </row>
    <row r="25" spans="1:6" ht="20.25" customHeight="1">
      <c r="A25" s="159" t="s">
        <v>427</v>
      </c>
      <c r="B25" s="144" t="s">
        <v>467</v>
      </c>
      <c r="C25" s="154"/>
      <c r="D25" s="88"/>
      <c r="E25" s="153">
        <f t="shared" si="0"/>
        <v>0</v>
      </c>
      <c r="F25" s="9"/>
    </row>
    <row r="26" spans="1:6" ht="20.25" customHeight="1">
      <c r="A26" s="159" t="s">
        <v>191</v>
      </c>
      <c r="B26" s="145" t="s">
        <v>467</v>
      </c>
      <c r="C26" s="154"/>
      <c r="D26" s="88"/>
      <c r="E26" s="153">
        <f t="shared" si="0"/>
        <v>0</v>
      </c>
      <c r="F26" s="9"/>
    </row>
    <row r="27" spans="1:6" ht="15">
      <c r="A27" s="159" t="s">
        <v>548</v>
      </c>
      <c r="B27" s="145" t="s">
        <v>468</v>
      </c>
      <c r="C27" s="154"/>
      <c r="D27" s="88"/>
      <c r="E27" s="153">
        <f t="shared" si="0"/>
        <v>0</v>
      </c>
      <c r="F27" s="9"/>
    </row>
    <row r="28" spans="1:6" ht="15.75">
      <c r="A28" s="159" t="s">
        <v>516</v>
      </c>
      <c r="B28" s="151" t="s">
        <v>469</v>
      </c>
      <c r="C28" s="151"/>
      <c r="D28" s="88"/>
      <c r="E28" s="153">
        <f t="shared" si="0"/>
        <v>0</v>
      </c>
      <c r="F28" s="9"/>
    </row>
    <row r="29" spans="1:6" ht="15">
      <c r="A29" s="159" t="s">
        <v>547</v>
      </c>
      <c r="B29" s="145" t="s">
        <v>469</v>
      </c>
      <c r="C29" s="154"/>
      <c r="D29" s="88"/>
      <c r="E29" s="153">
        <f t="shared" si="0"/>
        <v>0</v>
      </c>
      <c r="F29" s="9"/>
    </row>
    <row r="30" spans="1:6" ht="15">
      <c r="A30" s="159" t="s">
        <v>517</v>
      </c>
      <c r="B30" s="144" t="s">
        <v>470</v>
      </c>
      <c r="C30" s="154"/>
      <c r="D30" s="88"/>
      <c r="E30" s="153">
        <f t="shared" si="0"/>
        <v>0</v>
      </c>
      <c r="F30" s="9"/>
    </row>
    <row r="31" spans="1:6" ht="30">
      <c r="A31" s="172" t="s">
        <v>406</v>
      </c>
      <c r="B31" s="144"/>
      <c r="C31" s="154"/>
      <c r="D31" s="88"/>
      <c r="E31" s="153">
        <f t="shared" si="0"/>
        <v>0</v>
      </c>
      <c r="F31" s="29"/>
    </row>
    <row r="32" spans="1:6" ht="30">
      <c r="A32" s="159" t="s">
        <v>550</v>
      </c>
      <c r="B32" s="144" t="s">
        <v>471</v>
      </c>
      <c r="C32" s="154">
        <v>2.6</v>
      </c>
      <c r="D32" s="88">
        <v>4</v>
      </c>
      <c r="E32" s="153">
        <f t="shared" si="0"/>
        <v>10.4</v>
      </c>
      <c r="F32" s="29"/>
    </row>
    <row r="33" spans="1:6" ht="33.75" customHeight="1">
      <c r="A33" s="159" t="s">
        <v>408</v>
      </c>
      <c r="B33" s="144" t="s">
        <v>471</v>
      </c>
      <c r="C33" s="154"/>
      <c r="D33" s="88"/>
      <c r="E33" s="153">
        <f t="shared" si="0"/>
        <v>0</v>
      </c>
      <c r="F33" s="28"/>
    </row>
    <row r="34" spans="1:6" ht="48" customHeight="1">
      <c r="A34" s="159" t="s">
        <v>197</v>
      </c>
      <c r="B34" s="144" t="s">
        <v>472</v>
      </c>
      <c r="C34" s="154"/>
      <c r="D34" s="88"/>
      <c r="E34" s="153">
        <f t="shared" si="0"/>
        <v>0</v>
      </c>
      <c r="F34" s="28"/>
    </row>
    <row r="35" spans="1:6" ht="15.75">
      <c r="A35" s="159" t="s">
        <v>585</v>
      </c>
      <c r="B35" s="109"/>
      <c r="C35" s="169">
        <v>8</v>
      </c>
      <c r="D35" s="88">
        <v>1</v>
      </c>
      <c r="E35" s="153">
        <f t="shared" si="0"/>
        <v>8</v>
      </c>
      <c r="F35" s="28"/>
    </row>
    <row r="36" spans="1:6" ht="15">
      <c r="A36" s="159" t="s">
        <v>553</v>
      </c>
      <c r="B36" s="144" t="s">
        <v>474</v>
      </c>
      <c r="C36" s="154"/>
      <c r="D36" s="88"/>
      <c r="E36" s="153">
        <f t="shared" si="0"/>
        <v>0</v>
      </c>
      <c r="F36" s="28"/>
    </row>
    <row r="37" spans="1:6" ht="15">
      <c r="A37" s="159" t="s">
        <v>409</v>
      </c>
      <c r="B37" s="144" t="s">
        <v>475</v>
      </c>
      <c r="C37" s="154"/>
      <c r="D37" s="88"/>
      <c r="E37" s="153">
        <f t="shared" si="0"/>
        <v>0</v>
      </c>
      <c r="F37" s="28"/>
    </row>
    <row r="38" spans="1:6" ht="14.25">
      <c r="A38" s="173" t="s">
        <v>405</v>
      </c>
      <c r="B38" s="144"/>
      <c r="C38" s="154"/>
      <c r="D38" s="88"/>
      <c r="E38" s="153">
        <f t="shared" si="0"/>
        <v>0</v>
      </c>
      <c r="F38" s="28"/>
    </row>
    <row r="39" spans="1:6" ht="23.25" customHeight="1">
      <c r="A39" s="159" t="s">
        <v>555</v>
      </c>
      <c r="B39" s="144" t="s">
        <v>476</v>
      </c>
      <c r="C39" s="154"/>
      <c r="D39" s="88"/>
      <c r="E39" s="153">
        <f t="shared" si="0"/>
        <v>0</v>
      </c>
      <c r="F39" s="28"/>
    </row>
    <row r="40" spans="1:6" ht="24" customHeight="1">
      <c r="A40" s="159" t="s">
        <v>554</v>
      </c>
      <c r="B40" s="187" t="s">
        <v>540</v>
      </c>
      <c r="C40" s="170"/>
      <c r="D40" s="88"/>
      <c r="E40" s="153">
        <f t="shared" si="0"/>
        <v>0</v>
      </c>
      <c r="F40" s="28"/>
    </row>
    <row r="41" spans="1:6" ht="15">
      <c r="A41" s="159" t="s">
        <v>556</v>
      </c>
      <c r="B41" s="155" t="s">
        <v>478</v>
      </c>
      <c r="C41" s="154"/>
      <c r="D41" s="88"/>
      <c r="E41" s="153">
        <f t="shared" si="0"/>
        <v>0</v>
      </c>
      <c r="F41" s="150"/>
    </row>
    <row r="42" spans="1:6" ht="15">
      <c r="A42" s="159" t="s">
        <v>410</v>
      </c>
      <c r="B42" s="146" t="s">
        <v>152</v>
      </c>
      <c r="C42" s="154">
        <v>1.35</v>
      </c>
      <c r="D42" s="88">
        <v>1</v>
      </c>
      <c r="E42" s="153">
        <f t="shared" si="0"/>
        <v>1.35</v>
      </c>
      <c r="F42" s="150"/>
    </row>
    <row r="43" spans="1:6" ht="15">
      <c r="A43" s="172" t="s">
        <v>206</v>
      </c>
      <c r="B43" s="146"/>
      <c r="C43" s="154"/>
      <c r="D43" s="88"/>
      <c r="E43" s="153">
        <f t="shared" si="0"/>
        <v>0</v>
      </c>
      <c r="F43" s="28"/>
    </row>
    <row r="44" spans="1:6" ht="15">
      <c r="A44" s="159" t="s">
        <v>557</v>
      </c>
      <c r="B44" s="144" t="s">
        <v>33</v>
      </c>
      <c r="C44" s="154"/>
      <c r="D44" s="163"/>
      <c r="E44" s="153">
        <f t="shared" si="0"/>
        <v>0</v>
      </c>
      <c r="F44" s="28"/>
    </row>
    <row r="45" spans="1:6" ht="15">
      <c r="A45" s="159" t="s">
        <v>583</v>
      </c>
      <c r="B45" s="146" t="s">
        <v>479</v>
      </c>
      <c r="C45" s="154">
        <v>4</v>
      </c>
      <c r="D45" s="88">
        <v>12</v>
      </c>
      <c r="E45" s="153">
        <f t="shared" si="0"/>
        <v>48</v>
      </c>
      <c r="F45" s="28"/>
    </row>
    <row r="46" spans="1:6" ht="30">
      <c r="A46" s="159" t="s">
        <v>431</v>
      </c>
      <c r="B46" s="144" t="s">
        <v>480</v>
      </c>
      <c r="C46" s="154"/>
      <c r="D46" s="88"/>
      <c r="E46" s="153">
        <f t="shared" si="0"/>
        <v>0</v>
      </c>
      <c r="F46" s="28"/>
    </row>
    <row r="47" spans="1:5" ht="15">
      <c r="A47" s="159" t="s">
        <v>208</v>
      </c>
      <c r="B47" s="144" t="s">
        <v>481</v>
      </c>
      <c r="C47" s="154"/>
      <c r="D47" s="88"/>
      <c r="E47" s="153">
        <f t="shared" si="0"/>
        <v>0</v>
      </c>
    </row>
    <row r="48" spans="1:5" ht="15">
      <c r="A48" s="159" t="s">
        <v>562</v>
      </c>
      <c r="B48" s="146" t="s">
        <v>482</v>
      </c>
      <c r="C48" s="154"/>
      <c r="D48" s="88"/>
      <c r="E48" s="153">
        <f t="shared" si="0"/>
        <v>0</v>
      </c>
    </row>
    <row r="49" spans="1:5" ht="30">
      <c r="A49" s="159" t="s">
        <v>561</v>
      </c>
      <c r="B49" s="111" t="s">
        <v>483</v>
      </c>
      <c r="C49" s="154"/>
      <c r="D49" s="88"/>
      <c r="E49" s="153">
        <f t="shared" si="0"/>
        <v>0</v>
      </c>
    </row>
    <row r="50" spans="1:5" ht="15">
      <c r="A50" s="159" t="s">
        <v>434</v>
      </c>
      <c r="B50" s="144" t="s">
        <v>484</v>
      </c>
      <c r="C50" s="154"/>
      <c r="D50" s="88"/>
      <c r="E50" s="153">
        <f t="shared" si="0"/>
        <v>0</v>
      </c>
    </row>
    <row r="51" spans="1:5" ht="15">
      <c r="A51" s="159" t="s">
        <v>212</v>
      </c>
      <c r="B51" s="144" t="s">
        <v>485</v>
      </c>
      <c r="C51" s="154"/>
      <c r="D51" s="88"/>
      <c r="E51" s="153">
        <f t="shared" si="0"/>
        <v>0</v>
      </c>
    </row>
    <row r="52" spans="1:5" ht="15">
      <c r="A52" s="159" t="s">
        <v>435</v>
      </c>
      <c r="B52" s="144" t="s">
        <v>486</v>
      </c>
      <c r="C52" s="154"/>
      <c r="D52" s="88"/>
      <c r="E52" s="153">
        <f t="shared" si="0"/>
        <v>0</v>
      </c>
    </row>
    <row r="53" spans="1:5" ht="15">
      <c r="A53" s="159" t="s">
        <v>436</v>
      </c>
      <c r="B53" s="144" t="s">
        <v>487</v>
      </c>
      <c r="C53" s="154"/>
      <c r="D53" s="88"/>
      <c r="E53" s="153">
        <f t="shared" si="0"/>
        <v>0</v>
      </c>
    </row>
    <row r="54" spans="1:5" ht="15">
      <c r="A54" s="159" t="s">
        <v>437</v>
      </c>
      <c r="B54" s="144" t="s">
        <v>488</v>
      </c>
      <c r="C54" s="154"/>
      <c r="D54" s="88"/>
      <c r="E54" s="153">
        <f t="shared" si="0"/>
        <v>0</v>
      </c>
    </row>
    <row r="55" spans="1:5" ht="15">
      <c r="A55" s="159" t="s">
        <v>438</v>
      </c>
      <c r="B55" s="144" t="s">
        <v>489</v>
      </c>
      <c r="C55" s="154"/>
      <c r="D55" s="88"/>
      <c r="E55" s="153">
        <f t="shared" si="0"/>
        <v>0</v>
      </c>
    </row>
    <row r="56" spans="1:5" ht="15">
      <c r="A56" s="159" t="s">
        <v>439</v>
      </c>
      <c r="B56" s="144" t="s">
        <v>490</v>
      </c>
      <c r="C56" s="154"/>
      <c r="D56" s="88"/>
      <c r="E56" s="153">
        <f t="shared" si="0"/>
        <v>0</v>
      </c>
    </row>
    <row r="57" spans="1:5" ht="15">
      <c r="A57" s="159" t="s">
        <v>440</v>
      </c>
      <c r="B57" s="144" t="s">
        <v>491</v>
      </c>
      <c r="C57" s="154"/>
      <c r="D57" s="88"/>
      <c r="E57" s="153">
        <f t="shared" si="0"/>
        <v>0</v>
      </c>
    </row>
    <row r="58" spans="1:5" ht="15">
      <c r="A58" s="159" t="s">
        <v>63</v>
      </c>
      <c r="B58" s="144" t="s">
        <v>38</v>
      </c>
      <c r="C58" s="154"/>
      <c r="D58" s="88"/>
      <c r="E58" s="153">
        <f t="shared" si="0"/>
        <v>0</v>
      </c>
    </row>
    <row r="59" spans="1:5" ht="15">
      <c r="A59" s="159" t="s">
        <v>64</v>
      </c>
      <c r="B59" s="144" t="s">
        <v>38</v>
      </c>
      <c r="C59" s="154"/>
      <c r="D59" s="88"/>
      <c r="E59" s="153">
        <f t="shared" si="0"/>
        <v>0</v>
      </c>
    </row>
    <row r="60" spans="1:5" ht="15">
      <c r="A60" s="159" t="s">
        <v>65</v>
      </c>
      <c r="B60" s="144" t="s">
        <v>38</v>
      </c>
      <c r="C60" s="154"/>
      <c r="D60" s="88"/>
      <c r="E60" s="153">
        <f t="shared" si="0"/>
        <v>0</v>
      </c>
    </row>
    <row r="61" spans="1:5" ht="30" customHeight="1">
      <c r="A61" s="159" t="s">
        <v>66</v>
      </c>
      <c r="B61" s="144" t="s">
        <v>38</v>
      </c>
      <c r="C61" s="154"/>
      <c r="D61" s="88"/>
      <c r="E61" s="153">
        <f t="shared" si="0"/>
        <v>0</v>
      </c>
    </row>
    <row r="62" spans="1:5" ht="30" customHeight="1">
      <c r="A62" s="159" t="s">
        <v>217</v>
      </c>
      <c r="B62" s="144" t="s">
        <v>492</v>
      </c>
      <c r="C62" s="154"/>
      <c r="D62" s="88"/>
      <c r="E62" s="153">
        <f t="shared" si="0"/>
        <v>0</v>
      </c>
    </row>
    <row r="63" spans="1:5" ht="30" customHeight="1">
      <c r="A63" s="159" t="s">
        <v>586</v>
      </c>
      <c r="B63" s="144"/>
      <c r="C63" s="154">
        <v>12.7</v>
      </c>
      <c r="D63" s="88">
        <v>2</v>
      </c>
      <c r="E63" s="153">
        <f t="shared" si="0"/>
        <v>25.4</v>
      </c>
    </row>
    <row r="64" spans="1:5" ht="15">
      <c r="A64" s="159" t="s">
        <v>441</v>
      </c>
      <c r="B64" s="111" t="s">
        <v>493</v>
      </c>
      <c r="C64" s="154">
        <v>4.75</v>
      </c>
      <c r="D64" s="88">
        <v>2</v>
      </c>
      <c r="E64" s="153">
        <f t="shared" si="0"/>
        <v>9.5</v>
      </c>
    </row>
    <row r="65" spans="1:5" ht="15">
      <c r="A65" s="159" t="s">
        <v>442</v>
      </c>
      <c r="B65" s="111" t="s">
        <v>494</v>
      </c>
      <c r="C65" s="154"/>
      <c r="D65" s="88"/>
      <c r="E65" s="153">
        <f t="shared" si="0"/>
        <v>0</v>
      </c>
    </row>
    <row r="66" spans="1:5" ht="15">
      <c r="A66" s="159" t="s">
        <v>219</v>
      </c>
      <c r="B66" s="111" t="s">
        <v>38</v>
      </c>
      <c r="C66" s="154">
        <v>1.3</v>
      </c>
      <c r="D66" s="88">
        <v>3</v>
      </c>
      <c r="E66" s="153">
        <f t="shared" si="0"/>
        <v>3.9</v>
      </c>
    </row>
    <row r="67" spans="1:5" ht="20.25" customHeight="1">
      <c r="A67" s="159" t="s">
        <v>401</v>
      </c>
      <c r="B67" s="144" t="s">
        <v>495</v>
      </c>
      <c r="C67" s="154"/>
      <c r="D67" s="88"/>
      <c r="E67" s="153">
        <f t="shared" si="0"/>
        <v>0</v>
      </c>
    </row>
    <row r="68" spans="1:5" ht="15">
      <c r="A68" s="159" t="s">
        <v>402</v>
      </c>
      <c r="B68" s="111" t="s">
        <v>38</v>
      </c>
      <c r="C68" s="154"/>
      <c r="D68" s="88"/>
      <c r="E68" s="153">
        <f t="shared" si="0"/>
        <v>0</v>
      </c>
    </row>
    <row r="69" spans="1:5" ht="15">
      <c r="A69" s="159" t="s">
        <v>403</v>
      </c>
      <c r="B69" s="144" t="s">
        <v>38</v>
      </c>
      <c r="C69" s="154"/>
      <c r="D69" s="88"/>
      <c r="E69" s="153">
        <f t="shared" si="0"/>
        <v>0</v>
      </c>
    </row>
    <row r="70" spans="1:5" ht="20.25" customHeight="1">
      <c r="A70" s="159" t="s">
        <v>404</v>
      </c>
      <c r="B70" s="144" t="s">
        <v>38</v>
      </c>
      <c r="C70" s="154"/>
      <c r="D70" s="88"/>
      <c r="E70" s="153">
        <f t="shared" si="0"/>
        <v>0</v>
      </c>
    </row>
    <row r="71" spans="1:5" ht="15">
      <c r="A71" s="159" t="s">
        <v>224</v>
      </c>
      <c r="B71" s="111" t="s">
        <v>38</v>
      </c>
      <c r="C71" s="154"/>
      <c r="D71" s="88"/>
      <c r="E71" s="153">
        <f t="shared" si="0"/>
        <v>0</v>
      </c>
    </row>
    <row r="72" spans="1:5" ht="15">
      <c r="A72" s="159" t="s">
        <v>443</v>
      </c>
      <c r="B72" s="144" t="s">
        <v>38</v>
      </c>
      <c r="C72" s="154"/>
      <c r="D72" s="88"/>
      <c r="E72" s="153">
        <f t="shared" si="0"/>
        <v>0</v>
      </c>
    </row>
    <row r="73" spans="1:5" ht="15">
      <c r="A73" s="159" t="s">
        <v>226</v>
      </c>
      <c r="B73" s="144" t="s">
        <v>38</v>
      </c>
      <c r="C73" s="154"/>
      <c r="D73" s="88"/>
      <c r="E73" s="153">
        <f aca="true" t="shared" si="1" ref="E73:E105">ROUND(C73*D73,2)</f>
        <v>0</v>
      </c>
    </row>
    <row r="74" spans="1:5" ht="15">
      <c r="A74" s="159" t="s">
        <v>227</v>
      </c>
      <c r="B74" s="144" t="s">
        <v>38</v>
      </c>
      <c r="C74" s="154"/>
      <c r="D74" s="88"/>
      <c r="E74" s="153">
        <f t="shared" si="1"/>
        <v>0</v>
      </c>
    </row>
    <row r="75" spans="1:5" ht="15">
      <c r="A75" s="159" t="s">
        <v>558</v>
      </c>
      <c r="B75" s="144" t="s">
        <v>38</v>
      </c>
      <c r="C75" s="154"/>
      <c r="D75" s="88"/>
      <c r="E75" s="153">
        <f t="shared" si="1"/>
        <v>0</v>
      </c>
    </row>
    <row r="76" spans="1:5" ht="15">
      <c r="A76" s="159" t="s">
        <v>411</v>
      </c>
      <c r="B76" s="111" t="s">
        <v>38</v>
      </c>
      <c r="C76" s="154"/>
      <c r="D76" s="88"/>
      <c r="E76" s="153">
        <f t="shared" si="1"/>
        <v>0</v>
      </c>
    </row>
    <row r="77" spans="1:6" ht="15">
      <c r="A77" s="159" t="s">
        <v>444</v>
      </c>
      <c r="B77" s="144" t="s">
        <v>38</v>
      </c>
      <c r="C77" s="154"/>
      <c r="D77" s="88"/>
      <c r="E77" s="153">
        <f t="shared" si="1"/>
        <v>0</v>
      </c>
      <c r="F77" s="142"/>
    </row>
    <row r="78" spans="1:5" ht="15">
      <c r="A78" s="159" t="s">
        <v>445</v>
      </c>
      <c r="B78" s="144" t="s">
        <v>38</v>
      </c>
      <c r="C78" s="154"/>
      <c r="D78" s="88"/>
      <c r="E78" s="153">
        <f t="shared" si="1"/>
        <v>0</v>
      </c>
    </row>
    <row r="79" spans="1:5" ht="15">
      <c r="A79" s="159" t="s">
        <v>446</v>
      </c>
      <c r="B79" s="144" t="s">
        <v>38</v>
      </c>
      <c r="C79" s="154"/>
      <c r="D79" s="88"/>
      <c r="E79" s="153">
        <f t="shared" si="1"/>
        <v>0</v>
      </c>
    </row>
    <row r="80" spans="1:5" ht="15">
      <c r="A80" s="159" t="s">
        <v>233</v>
      </c>
      <c r="B80" s="144" t="s">
        <v>38</v>
      </c>
      <c r="C80" s="154"/>
      <c r="D80" s="88"/>
      <c r="E80" s="153">
        <f t="shared" si="1"/>
        <v>0</v>
      </c>
    </row>
    <row r="81" spans="1:5" ht="15">
      <c r="A81" s="159" t="s">
        <v>447</v>
      </c>
      <c r="B81" s="144" t="s">
        <v>38</v>
      </c>
      <c r="C81" s="154"/>
      <c r="D81" s="88"/>
      <c r="E81" s="153">
        <f t="shared" si="1"/>
        <v>0</v>
      </c>
    </row>
    <row r="82" spans="1:5" ht="15">
      <c r="A82" s="159" t="s">
        <v>235</v>
      </c>
      <c r="B82" s="111" t="s">
        <v>496</v>
      </c>
      <c r="C82" s="154"/>
      <c r="D82" s="88"/>
      <c r="E82" s="153">
        <f t="shared" si="1"/>
        <v>0</v>
      </c>
    </row>
    <row r="83" spans="1:5" ht="20.25" customHeight="1">
      <c r="A83" s="159" t="s">
        <v>235</v>
      </c>
      <c r="B83" s="144" t="s">
        <v>480</v>
      </c>
      <c r="C83" s="154"/>
      <c r="D83" s="88"/>
      <c r="E83" s="153">
        <f t="shared" si="1"/>
        <v>0</v>
      </c>
    </row>
    <row r="84" spans="1:5" ht="15">
      <c r="A84" s="159" t="s">
        <v>236</v>
      </c>
      <c r="B84" s="111" t="s">
        <v>38</v>
      </c>
      <c r="C84" s="154"/>
      <c r="D84" s="88"/>
      <c r="E84" s="153">
        <f t="shared" si="1"/>
        <v>0</v>
      </c>
    </row>
    <row r="85" spans="1:5" ht="15">
      <c r="A85" s="159" t="s">
        <v>237</v>
      </c>
      <c r="B85" s="111" t="s">
        <v>38</v>
      </c>
      <c r="C85" s="154"/>
      <c r="D85" s="88"/>
      <c r="E85" s="153">
        <f t="shared" si="1"/>
        <v>0</v>
      </c>
    </row>
    <row r="86" spans="1:5" ht="15">
      <c r="A86" s="159" t="s">
        <v>448</v>
      </c>
      <c r="B86" s="111" t="s">
        <v>497</v>
      </c>
      <c r="C86" s="154"/>
      <c r="D86" s="88"/>
      <c r="E86" s="153">
        <f t="shared" si="1"/>
        <v>0</v>
      </c>
    </row>
    <row r="87" spans="1:5" ht="15">
      <c r="A87" s="159" t="s">
        <v>584</v>
      </c>
      <c r="B87" s="144"/>
      <c r="C87" s="154">
        <v>3.5</v>
      </c>
      <c r="D87" s="88">
        <v>1</v>
      </c>
      <c r="E87" s="153">
        <f t="shared" si="1"/>
        <v>3.5</v>
      </c>
    </row>
    <row r="88" spans="1:5" ht="15">
      <c r="A88" s="159" t="s">
        <v>450</v>
      </c>
      <c r="B88" s="144" t="s">
        <v>498</v>
      </c>
      <c r="C88" s="154"/>
      <c r="D88" s="88"/>
      <c r="E88" s="153">
        <f t="shared" si="1"/>
        <v>0</v>
      </c>
    </row>
    <row r="89" spans="1:5" ht="15">
      <c r="A89" s="159" t="s">
        <v>16</v>
      </c>
      <c r="B89" s="144" t="s">
        <v>38</v>
      </c>
      <c r="C89" s="154"/>
      <c r="D89" s="88"/>
      <c r="E89" s="153">
        <f t="shared" si="1"/>
        <v>0</v>
      </c>
    </row>
    <row r="90" spans="1:5" ht="15">
      <c r="A90" s="159" t="s">
        <v>238</v>
      </c>
      <c r="B90" s="111" t="s">
        <v>38</v>
      </c>
      <c r="C90" s="154"/>
      <c r="D90" s="88"/>
      <c r="E90" s="153">
        <f t="shared" si="1"/>
        <v>0</v>
      </c>
    </row>
    <row r="91" spans="1:5" ht="20.25" customHeight="1">
      <c r="A91" s="159" t="s">
        <v>546</v>
      </c>
      <c r="B91" s="144" t="s">
        <v>38</v>
      </c>
      <c r="C91" s="154"/>
      <c r="D91" s="88"/>
      <c r="E91" s="153">
        <f t="shared" si="1"/>
        <v>0</v>
      </c>
    </row>
    <row r="92" spans="1:5" ht="15.75">
      <c r="A92" s="159" t="s">
        <v>240</v>
      </c>
      <c r="B92" s="151" t="s">
        <v>38</v>
      </c>
      <c r="C92" s="171"/>
      <c r="D92" s="88"/>
      <c r="E92" s="153">
        <f t="shared" si="1"/>
        <v>0</v>
      </c>
    </row>
    <row r="93" spans="1:8" ht="15">
      <c r="A93" s="159" t="s">
        <v>241</v>
      </c>
      <c r="B93" s="146" t="s">
        <v>38</v>
      </c>
      <c r="C93" s="154"/>
      <c r="D93" s="88"/>
      <c r="E93" s="153">
        <f t="shared" si="1"/>
        <v>0</v>
      </c>
      <c r="H93" s="157"/>
    </row>
    <row r="94" spans="1:5" ht="30.75" customHeight="1">
      <c r="A94" s="159" t="s">
        <v>451</v>
      </c>
      <c r="B94" s="146" t="s">
        <v>480</v>
      </c>
      <c r="C94" s="154"/>
      <c r="D94" s="88"/>
      <c r="E94" s="153">
        <f t="shared" si="1"/>
        <v>0</v>
      </c>
    </row>
    <row r="95" spans="1:5" ht="27.75" customHeight="1">
      <c r="A95" s="159" t="s">
        <v>452</v>
      </c>
      <c r="B95" s="144" t="s">
        <v>499</v>
      </c>
      <c r="C95" s="154"/>
      <c r="D95" s="88"/>
      <c r="E95" s="153">
        <f t="shared" si="1"/>
        <v>0</v>
      </c>
    </row>
    <row r="96" spans="1:5" ht="23.25" customHeight="1">
      <c r="A96" s="159" t="s">
        <v>453</v>
      </c>
      <c r="B96" s="192" t="s">
        <v>500</v>
      </c>
      <c r="C96" s="35"/>
      <c r="D96" s="88"/>
      <c r="E96" s="153">
        <f t="shared" si="1"/>
        <v>0</v>
      </c>
    </row>
    <row r="97" spans="1:5" ht="15.75" customHeight="1">
      <c r="A97" s="159" t="s">
        <v>454</v>
      </c>
      <c r="B97" s="192" t="s">
        <v>501</v>
      </c>
      <c r="C97" s="35"/>
      <c r="D97" s="88"/>
      <c r="E97" s="153">
        <f t="shared" si="1"/>
        <v>0</v>
      </c>
    </row>
    <row r="98" spans="1:5" ht="15">
      <c r="A98" s="159" t="s">
        <v>242</v>
      </c>
      <c r="B98" s="35" t="s">
        <v>38</v>
      </c>
      <c r="C98" s="35"/>
      <c r="D98" s="88"/>
      <c r="E98" s="153">
        <f t="shared" si="1"/>
        <v>0</v>
      </c>
    </row>
    <row r="99" spans="1:5" ht="15">
      <c r="A99" s="159" t="s">
        <v>455</v>
      </c>
      <c r="B99" s="35" t="s">
        <v>38</v>
      </c>
      <c r="C99" s="35"/>
      <c r="D99" s="164"/>
      <c r="E99" s="153">
        <f t="shared" si="1"/>
        <v>0</v>
      </c>
    </row>
    <row r="100" spans="1:5" ht="15">
      <c r="A100" s="159" t="s">
        <v>513</v>
      </c>
      <c r="B100" s="35" t="s">
        <v>38</v>
      </c>
      <c r="C100" s="35">
        <v>45.9</v>
      </c>
      <c r="D100" s="164">
        <v>4</v>
      </c>
      <c r="E100" s="153">
        <f t="shared" si="1"/>
        <v>183.6</v>
      </c>
    </row>
    <row r="101" spans="1:5" ht="15">
      <c r="A101" s="172" t="s">
        <v>243</v>
      </c>
      <c r="B101" s="35"/>
      <c r="C101" s="35"/>
      <c r="D101" s="35"/>
      <c r="E101" s="153">
        <f t="shared" si="1"/>
        <v>0</v>
      </c>
    </row>
    <row r="102" spans="1:5" ht="15">
      <c r="A102" s="159" t="s">
        <v>456</v>
      </c>
      <c r="B102" s="35" t="s">
        <v>502</v>
      </c>
      <c r="C102" s="35"/>
      <c r="D102" s="35"/>
      <c r="E102" s="153">
        <f t="shared" si="1"/>
        <v>0</v>
      </c>
    </row>
    <row r="103" spans="1:5" ht="15">
      <c r="A103" s="159" t="s">
        <v>457</v>
      </c>
      <c r="B103" s="35" t="s">
        <v>502</v>
      </c>
      <c r="C103" s="35"/>
      <c r="D103" s="35"/>
      <c r="E103" s="153">
        <f t="shared" si="1"/>
        <v>0</v>
      </c>
    </row>
    <row r="104" spans="1:5" ht="15">
      <c r="A104" s="159" t="s">
        <v>559</v>
      </c>
      <c r="B104" s="35" t="s">
        <v>503</v>
      </c>
      <c r="C104" s="35"/>
      <c r="D104" s="35"/>
      <c r="E104" s="153">
        <f t="shared" si="1"/>
        <v>0</v>
      </c>
    </row>
    <row r="105" spans="1:5" ht="14.25">
      <c r="A105" s="35"/>
      <c r="B105" s="35"/>
      <c r="C105" s="35"/>
      <c r="D105" s="35"/>
      <c r="E105" s="153">
        <f t="shared" si="1"/>
        <v>0</v>
      </c>
    </row>
    <row r="106" spans="1:5" ht="15">
      <c r="A106" s="63" t="s">
        <v>572</v>
      </c>
      <c r="B106" s="35"/>
      <c r="C106" s="35"/>
      <c r="D106" s="35"/>
      <c r="E106" s="177">
        <f>SUM(E7:E105)-E45</f>
        <v>877.51</v>
      </c>
    </row>
    <row r="107" spans="1:5" ht="15">
      <c r="A107" s="178" t="s">
        <v>505</v>
      </c>
      <c r="B107" s="35"/>
      <c r="C107" s="35"/>
      <c r="D107" s="35"/>
      <c r="E107" s="179">
        <f>E106*22%</f>
        <v>193.0522</v>
      </c>
    </row>
    <row r="108" spans="1:5" ht="15">
      <c r="A108" s="63" t="s">
        <v>573</v>
      </c>
      <c r="B108" s="35"/>
      <c r="C108" s="35"/>
      <c r="D108" s="35"/>
      <c r="E108" s="179">
        <f>E45</f>
        <v>48</v>
      </c>
    </row>
    <row r="109" spans="1:5" ht="15">
      <c r="A109" s="178" t="s">
        <v>574</v>
      </c>
      <c r="B109" s="35"/>
      <c r="C109" s="35"/>
      <c r="D109" s="35"/>
      <c r="E109" s="179">
        <f>E108*5%</f>
        <v>2.4000000000000004</v>
      </c>
    </row>
    <row r="110" spans="1:5" ht="15">
      <c r="A110" s="180" t="s">
        <v>504</v>
      </c>
      <c r="B110" s="35"/>
      <c r="C110" s="35"/>
      <c r="D110" s="35"/>
      <c r="E110" s="179">
        <f>SUM(E106:E109)</f>
        <v>1120.9622000000002</v>
      </c>
    </row>
  </sheetData>
  <sheetProtection/>
  <mergeCells count="4">
    <mergeCell ref="A2:F2"/>
    <mergeCell ref="A3:F3"/>
    <mergeCell ref="A4:A5"/>
    <mergeCell ref="B4:E4"/>
  </mergeCells>
  <printOptions horizontalCentered="1" verticalCentered="1"/>
  <pageMargins left="0.7086614173228347" right="0.7086614173228347" top="0.5511811023622047" bottom="0.5511811023622047" header="0.31496062992125984" footer="0.31496062992125984"/>
  <pageSetup fitToHeight="2" fitToWidth="1" horizontalDpi="600" verticalDpi="600" orientation="portrait" paperSize="9" scale="6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8"/>
  <sheetViews>
    <sheetView zoomScale="96" zoomScaleNormal="96" zoomScalePageLayoutView="0" workbookViewId="0" topLeftCell="A40">
      <selection activeCell="B57" sqref="B57"/>
    </sheetView>
  </sheetViews>
  <sheetFormatPr defaultColWidth="9.140625" defaultRowHeight="12.75"/>
  <cols>
    <col min="1" max="1" width="47.140625" style="0" customWidth="1"/>
    <col min="2" max="2" width="12.8515625" style="0" customWidth="1"/>
    <col min="3" max="3" width="8.57421875" style="0" customWidth="1"/>
    <col min="5" max="5" width="9.140625" style="0" customWidth="1"/>
    <col min="6" max="6" width="3.8515625" style="0" customWidth="1"/>
  </cols>
  <sheetData>
    <row r="2" spans="1:6" ht="12.75">
      <c r="A2" s="202" t="s">
        <v>414</v>
      </c>
      <c r="B2" s="202"/>
      <c r="C2" s="202"/>
      <c r="D2" s="202"/>
      <c r="E2" s="202"/>
      <c r="F2" s="202"/>
    </row>
    <row r="3" spans="1:6" ht="13.5" thickBot="1">
      <c r="A3" s="203" t="s">
        <v>509</v>
      </c>
      <c r="B3" s="203"/>
      <c r="C3" s="201"/>
      <c r="D3" s="201"/>
      <c r="E3" s="201"/>
      <c r="F3" s="201"/>
    </row>
    <row r="4" spans="1:6" ht="12.75">
      <c r="A4" s="204" t="s">
        <v>0</v>
      </c>
      <c r="B4" s="206" t="s">
        <v>420</v>
      </c>
      <c r="C4" s="207"/>
      <c r="D4" s="207"/>
      <c r="E4" s="208"/>
      <c r="F4" s="10"/>
    </row>
    <row r="5" spans="1:6" ht="38.25">
      <c r="A5" s="205"/>
      <c r="B5" s="67" t="s">
        <v>2</v>
      </c>
      <c r="C5" s="148" t="s">
        <v>413</v>
      </c>
      <c r="D5" s="147" t="s">
        <v>412</v>
      </c>
      <c r="E5" s="186" t="s">
        <v>416</v>
      </c>
      <c r="F5" s="11"/>
    </row>
    <row r="6" spans="1:6" ht="30">
      <c r="A6" s="158" t="s">
        <v>400</v>
      </c>
      <c r="B6" s="151"/>
      <c r="C6" s="151"/>
      <c r="D6" s="151"/>
      <c r="E6" s="151"/>
      <c r="F6" s="9"/>
    </row>
    <row r="7" spans="1:6" ht="60">
      <c r="A7" s="159" t="s">
        <v>178</v>
      </c>
      <c r="B7" s="144" t="s">
        <v>459</v>
      </c>
      <c r="C7" s="154">
        <v>1.72</v>
      </c>
      <c r="D7" s="88"/>
      <c r="E7" s="153">
        <f>ROUND(C7*D7,2)</f>
        <v>0</v>
      </c>
      <c r="F7" s="9"/>
    </row>
    <row r="8" spans="1:6" ht="75">
      <c r="A8" s="160" t="s">
        <v>422</v>
      </c>
      <c r="B8" s="144" t="s">
        <v>460</v>
      </c>
      <c r="C8" s="154">
        <v>7.2</v>
      </c>
      <c r="D8" s="88">
        <v>7</v>
      </c>
      <c r="E8" s="153">
        <f aca="true" t="shared" si="0" ref="E8:E71">ROUND(C8*D8,2)</f>
        <v>50.4</v>
      </c>
      <c r="F8" s="9"/>
    </row>
    <row r="9" spans="1:6" ht="30">
      <c r="A9" s="159" t="s">
        <v>182</v>
      </c>
      <c r="B9" s="144">
        <v>3000</v>
      </c>
      <c r="C9" s="154">
        <v>16.5</v>
      </c>
      <c r="D9" s="163">
        <v>6</v>
      </c>
      <c r="E9" s="153">
        <f t="shared" si="0"/>
        <v>99</v>
      </c>
      <c r="F9" s="9"/>
    </row>
    <row r="10" spans="1:6" ht="15">
      <c r="A10" s="159" t="s">
        <v>423</v>
      </c>
      <c r="B10" s="104" t="s">
        <v>38</v>
      </c>
      <c r="C10" s="154">
        <v>14</v>
      </c>
      <c r="D10" s="184"/>
      <c r="E10" s="153">
        <f t="shared" si="0"/>
        <v>0</v>
      </c>
      <c r="F10" s="9"/>
    </row>
    <row r="11" spans="1:6" ht="30">
      <c r="A11" s="159" t="s">
        <v>183</v>
      </c>
      <c r="B11" s="104" t="s">
        <v>38</v>
      </c>
      <c r="C11" s="154"/>
      <c r="D11" s="88"/>
      <c r="E11" s="153">
        <f t="shared" si="0"/>
        <v>0</v>
      </c>
      <c r="F11" s="9"/>
    </row>
    <row r="12" spans="1:6" ht="15">
      <c r="A12" s="159" t="s">
        <v>184</v>
      </c>
      <c r="B12" s="104" t="s">
        <v>38</v>
      </c>
      <c r="C12" s="154">
        <v>5.1</v>
      </c>
      <c r="D12" s="183"/>
      <c r="E12" s="153">
        <f t="shared" si="0"/>
        <v>0</v>
      </c>
      <c r="F12" s="9"/>
    </row>
    <row r="13" spans="1:6" ht="30">
      <c r="A13" s="159" t="s">
        <v>424</v>
      </c>
      <c r="B13" s="104" t="s">
        <v>461</v>
      </c>
      <c r="C13" s="154">
        <v>0</v>
      </c>
      <c r="D13" s="88"/>
      <c r="E13" s="153">
        <f t="shared" si="0"/>
        <v>0</v>
      </c>
      <c r="F13" s="9"/>
    </row>
    <row r="14" spans="1:6" ht="25.5">
      <c r="A14" s="159" t="s">
        <v>185</v>
      </c>
      <c r="B14" s="104" t="s">
        <v>462</v>
      </c>
      <c r="C14" s="154"/>
      <c r="D14" s="88"/>
      <c r="E14" s="153">
        <f t="shared" si="0"/>
        <v>0</v>
      </c>
      <c r="F14" s="9"/>
    </row>
    <row r="15" spans="1:6" ht="45">
      <c r="A15" s="159" t="s">
        <v>425</v>
      </c>
      <c r="B15" s="104" t="s">
        <v>463</v>
      </c>
      <c r="C15" s="154">
        <v>3.6</v>
      </c>
      <c r="D15" s="88">
        <v>2</v>
      </c>
      <c r="E15" s="153">
        <f t="shared" si="0"/>
        <v>7.2</v>
      </c>
      <c r="F15" s="9"/>
    </row>
    <row r="16" spans="1:6" ht="30">
      <c r="A16" s="159" t="s">
        <v>523</v>
      </c>
      <c r="B16" s="151" t="s">
        <v>524</v>
      </c>
      <c r="C16" s="151"/>
      <c r="D16" s="88"/>
      <c r="E16" s="153">
        <f t="shared" si="0"/>
        <v>0</v>
      </c>
      <c r="F16" s="9"/>
    </row>
    <row r="17" spans="1:6" ht="15">
      <c r="A17" s="159" t="s">
        <v>186</v>
      </c>
      <c r="B17" s="144" t="s">
        <v>38</v>
      </c>
      <c r="C17" s="154">
        <v>2.1</v>
      </c>
      <c r="D17" s="88"/>
      <c r="E17" s="153">
        <f t="shared" si="0"/>
        <v>0</v>
      </c>
      <c r="F17" s="9"/>
    </row>
    <row r="18" spans="1:6" ht="15">
      <c r="A18" s="159" t="s">
        <v>187</v>
      </c>
      <c r="B18" s="144" t="s">
        <v>38</v>
      </c>
      <c r="C18" s="154"/>
      <c r="D18" s="88"/>
      <c r="E18" s="153">
        <f t="shared" si="0"/>
        <v>0</v>
      </c>
      <c r="F18" s="9"/>
    </row>
    <row r="19" spans="1:6" ht="30">
      <c r="A19" s="161" t="s">
        <v>188</v>
      </c>
      <c r="B19" s="144"/>
      <c r="C19" s="154"/>
      <c r="D19" s="88"/>
      <c r="E19" s="153">
        <f t="shared" si="0"/>
        <v>0</v>
      </c>
      <c r="F19" s="9"/>
    </row>
    <row r="20" spans="1:6" ht="60">
      <c r="A20" s="159" t="s">
        <v>253</v>
      </c>
      <c r="B20" s="144" t="s">
        <v>464</v>
      </c>
      <c r="C20" s="154"/>
      <c r="D20" s="88"/>
      <c r="E20" s="153">
        <f t="shared" si="0"/>
        <v>0</v>
      </c>
      <c r="F20" s="9"/>
    </row>
    <row r="21" spans="1:6" ht="45">
      <c r="A21" s="159" t="s">
        <v>254</v>
      </c>
      <c r="B21" s="144" t="s">
        <v>465</v>
      </c>
      <c r="C21" s="154">
        <v>0.97</v>
      </c>
      <c r="D21" s="88"/>
      <c r="E21" s="153">
        <f t="shared" si="0"/>
        <v>0</v>
      </c>
      <c r="F21" s="9"/>
    </row>
    <row r="22" spans="1:6" ht="45">
      <c r="A22" s="159" t="s">
        <v>189</v>
      </c>
      <c r="B22" s="144" t="s">
        <v>466</v>
      </c>
      <c r="C22" s="154"/>
      <c r="D22" s="88"/>
      <c r="E22" s="153">
        <f t="shared" si="0"/>
        <v>0</v>
      </c>
      <c r="F22" s="9"/>
    </row>
    <row r="23" spans="1:6" ht="45">
      <c r="A23" s="159" t="s">
        <v>58</v>
      </c>
      <c r="B23" s="144" t="s">
        <v>467</v>
      </c>
      <c r="C23" s="154">
        <v>0.98</v>
      </c>
      <c r="D23" s="88"/>
      <c r="E23" s="153">
        <f t="shared" si="0"/>
        <v>0</v>
      </c>
      <c r="F23" s="9"/>
    </row>
    <row r="24" spans="1:6" ht="30">
      <c r="A24" s="159" t="s">
        <v>190</v>
      </c>
      <c r="B24" s="144" t="s">
        <v>467</v>
      </c>
      <c r="C24" s="154"/>
      <c r="D24" s="88"/>
      <c r="E24" s="153">
        <f t="shared" si="0"/>
        <v>0</v>
      </c>
      <c r="F24" s="9"/>
    </row>
    <row r="25" spans="1:6" ht="30">
      <c r="A25" s="159" t="s">
        <v>427</v>
      </c>
      <c r="B25" s="144" t="s">
        <v>467</v>
      </c>
      <c r="C25" s="154"/>
      <c r="D25" s="88"/>
      <c r="E25" s="153">
        <f t="shared" si="0"/>
        <v>0</v>
      </c>
      <c r="F25" s="9"/>
    </row>
    <row r="26" spans="1:6" ht="30">
      <c r="A26" s="159" t="s">
        <v>191</v>
      </c>
      <c r="B26" s="145" t="s">
        <v>467</v>
      </c>
      <c r="C26" s="154"/>
      <c r="D26" s="88"/>
      <c r="E26" s="153">
        <f t="shared" si="0"/>
        <v>0</v>
      </c>
      <c r="F26" s="9"/>
    </row>
    <row r="27" spans="1:6" ht="30">
      <c r="A27" s="159" t="s">
        <v>192</v>
      </c>
      <c r="B27" s="145" t="s">
        <v>468</v>
      </c>
      <c r="C27" s="154">
        <v>0.69</v>
      </c>
      <c r="D27" s="88"/>
      <c r="E27" s="153">
        <f t="shared" si="0"/>
        <v>0</v>
      </c>
      <c r="F27" s="9"/>
    </row>
    <row r="28" spans="1:6" ht="30">
      <c r="A28" s="159" t="s">
        <v>407</v>
      </c>
      <c r="B28" s="151" t="s">
        <v>469</v>
      </c>
      <c r="C28" s="151"/>
      <c r="D28" s="88"/>
      <c r="E28" s="153">
        <f t="shared" si="0"/>
        <v>0</v>
      </c>
      <c r="F28" s="9"/>
    </row>
    <row r="29" spans="1:6" ht="30">
      <c r="A29" s="159" t="s">
        <v>193</v>
      </c>
      <c r="B29" s="145" t="s">
        <v>469</v>
      </c>
      <c r="C29" s="154"/>
      <c r="D29" s="88"/>
      <c r="E29" s="153">
        <f t="shared" si="0"/>
        <v>0</v>
      </c>
      <c r="F29" s="9"/>
    </row>
    <row r="30" spans="1:6" ht="30">
      <c r="A30" s="159" t="s">
        <v>428</v>
      </c>
      <c r="B30" s="144" t="s">
        <v>470</v>
      </c>
      <c r="C30" s="154"/>
      <c r="D30" s="88"/>
      <c r="E30" s="153">
        <f t="shared" si="0"/>
        <v>0</v>
      </c>
      <c r="F30" s="9"/>
    </row>
    <row r="31" spans="1:6" ht="30">
      <c r="A31" s="161" t="s">
        <v>406</v>
      </c>
      <c r="B31" s="144"/>
      <c r="C31" s="154"/>
      <c r="D31" s="88"/>
      <c r="E31" s="153">
        <f t="shared" si="0"/>
        <v>0</v>
      </c>
      <c r="F31" s="29"/>
    </row>
    <row r="32" spans="1:6" ht="45">
      <c r="A32" s="159" t="s">
        <v>429</v>
      </c>
      <c r="B32" s="144" t="s">
        <v>471</v>
      </c>
      <c r="C32" s="154">
        <v>2.6</v>
      </c>
      <c r="D32" s="88"/>
      <c r="E32" s="153">
        <f t="shared" si="0"/>
        <v>0</v>
      </c>
      <c r="F32" s="29"/>
    </row>
    <row r="33" spans="1:6" ht="45">
      <c r="A33" s="159" t="s">
        <v>408</v>
      </c>
      <c r="B33" s="144" t="s">
        <v>471</v>
      </c>
      <c r="C33" s="154">
        <v>4.9</v>
      </c>
      <c r="D33" s="88"/>
      <c r="E33" s="153">
        <f t="shared" si="0"/>
        <v>0</v>
      </c>
      <c r="F33" s="28"/>
    </row>
    <row r="34" spans="1:6" ht="60">
      <c r="A34" s="159" t="s">
        <v>197</v>
      </c>
      <c r="B34" s="144" t="s">
        <v>472</v>
      </c>
      <c r="C34" s="154">
        <v>1.4</v>
      </c>
      <c r="D34" s="88"/>
      <c r="E34" s="153">
        <f t="shared" si="0"/>
        <v>0</v>
      </c>
      <c r="F34" s="28"/>
    </row>
    <row r="35" spans="1:6" ht="45">
      <c r="A35" s="159" t="s">
        <v>198</v>
      </c>
      <c r="B35" s="144" t="s">
        <v>473</v>
      </c>
      <c r="C35" s="154"/>
      <c r="D35" s="88"/>
      <c r="E35" s="153">
        <f t="shared" si="0"/>
        <v>0</v>
      </c>
      <c r="F35" s="28"/>
    </row>
    <row r="36" spans="1:6" ht="30">
      <c r="A36" s="159" t="s">
        <v>200</v>
      </c>
      <c r="B36" s="166" t="s">
        <v>474</v>
      </c>
      <c r="C36" s="169">
        <v>1.16</v>
      </c>
      <c r="D36" s="88">
        <v>5</v>
      </c>
      <c r="E36" s="153">
        <f t="shared" si="0"/>
        <v>5.8</v>
      </c>
      <c r="F36" s="28"/>
    </row>
    <row r="37" spans="1:6" ht="15">
      <c r="A37" s="159" t="s">
        <v>409</v>
      </c>
      <c r="B37" s="144" t="s">
        <v>475</v>
      </c>
      <c r="C37" s="154"/>
      <c r="D37" s="88"/>
      <c r="E37" s="153">
        <f t="shared" si="0"/>
        <v>0</v>
      </c>
      <c r="F37" s="28"/>
    </row>
    <row r="38" spans="1:6" ht="28.5">
      <c r="A38" s="162" t="s">
        <v>405</v>
      </c>
      <c r="B38" s="144"/>
      <c r="C38" s="154"/>
      <c r="D38" s="88"/>
      <c r="E38" s="153">
        <f t="shared" si="0"/>
        <v>0</v>
      </c>
      <c r="F38" s="28"/>
    </row>
    <row r="39" spans="1:6" ht="30">
      <c r="A39" s="159" t="s">
        <v>204</v>
      </c>
      <c r="B39" s="144" t="s">
        <v>476</v>
      </c>
      <c r="C39" s="154"/>
      <c r="D39" s="88"/>
      <c r="E39" s="153">
        <f t="shared" si="0"/>
        <v>0</v>
      </c>
      <c r="F39" s="28"/>
    </row>
    <row r="40" spans="1:6" ht="30">
      <c r="A40" s="159" t="s">
        <v>258</v>
      </c>
      <c r="B40" s="144" t="s">
        <v>477</v>
      </c>
      <c r="C40" s="154"/>
      <c r="D40" s="88"/>
      <c r="E40" s="153">
        <f t="shared" si="0"/>
        <v>0</v>
      </c>
      <c r="F40" s="28"/>
    </row>
    <row r="41" spans="1:6" ht="31.5">
      <c r="A41" s="159" t="s">
        <v>430</v>
      </c>
      <c r="B41" s="151" t="s">
        <v>478</v>
      </c>
      <c r="C41" s="170"/>
      <c r="D41" s="88"/>
      <c r="E41" s="153">
        <f t="shared" si="0"/>
        <v>0</v>
      </c>
      <c r="F41" s="28"/>
    </row>
    <row r="42" spans="1:6" ht="15">
      <c r="A42" s="159" t="s">
        <v>410</v>
      </c>
      <c r="B42" s="155" t="s">
        <v>152</v>
      </c>
      <c r="C42" s="154">
        <v>0.675</v>
      </c>
      <c r="D42" s="88"/>
      <c r="E42" s="153">
        <f t="shared" si="0"/>
        <v>0</v>
      </c>
      <c r="F42" s="150"/>
    </row>
    <row r="43" spans="1:6" ht="15">
      <c r="A43" s="161" t="s">
        <v>206</v>
      </c>
      <c r="B43" s="146"/>
      <c r="C43" s="154"/>
      <c r="D43" s="88"/>
      <c r="E43" s="153">
        <f t="shared" si="0"/>
        <v>0</v>
      </c>
      <c r="F43" s="150"/>
    </row>
    <row r="44" spans="1:6" ht="30">
      <c r="A44" s="159" t="s">
        <v>61</v>
      </c>
      <c r="B44" s="146" t="s">
        <v>33</v>
      </c>
      <c r="C44" s="154">
        <v>0.63</v>
      </c>
      <c r="D44" s="88"/>
      <c r="E44" s="153">
        <f t="shared" si="0"/>
        <v>0</v>
      </c>
      <c r="F44" s="28"/>
    </row>
    <row r="45" spans="1:6" ht="25.5">
      <c r="A45" s="159" t="s">
        <v>506</v>
      </c>
      <c r="B45" s="144" t="s">
        <v>479</v>
      </c>
      <c r="C45" s="154">
        <v>4</v>
      </c>
      <c r="D45" s="163">
        <v>5</v>
      </c>
      <c r="E45" s="153">
        <f t="shared" si="0"/>
        <v>20</v>
      </c>
      <c r="F45" s="28"/>
    </row>
    <row r="46" spans="1:6" ht="30">
      <c r="A46" s="159" t="s">
        <v>431</v>
      </c>
      <c r="B46" s="146" t="s">
        <v>480</v>
      </c>
      <c r="C46" s="154"/>
      <c r="D46" s="163"/>
      <c r="E46" s="153">
        <f t="shared" si="0"/>
        <v>0</v>
      </c>
      <c r="F46" s="28"/>
    </row>
    <row r="47" spans="1:6" ht="25.5">
      <c r="A47" s="159" t="s">
        <v>208</v>
      </c>
      <c r="B47" s="144" t="s">
        <v>481</v>
      </c>
      <c r="C47" s="154">
        <v>0.37</v>
      </c>
      <c r="D47" s="88"/>
      <c r="E47" s="153">
        <f t="shared" si="0"/>
        <v>0</v>
      </c>
      <c r="F47" s="28"/>
    </row>
    <row r="48" spans="1:5" ht="30">
      <c r="A48" s="159" t="s">
        <v>432</v>
      </c>
      <c r="B48" s="144" t="s">
        <v>482</v>
      </c>
      <c r="C48" s="154"/>
      <c r="D48" s="88"/>
      <c r="E48" s="153">
        <f t="shared" si="0"/>
        <v>0</v>
      </c>
    </row>
    <row r="49" spans="1:5" ht="45">
      <c r="A49" s="159" t="s">
        <v>433</v>
      </c>
      <c r="B49" s="146" t="s">
        <v>483</v>
      </c>
      <c r="C49" s="154">
        <v>0.65</v>
      </c>
      <c r="D49" s="88">
        <v>5</v>
      </c>
      <c r="E49" s="153">
        <f t="shared" si="0"/>
        <v>3.25</v>
      </c>
    </row>
    <row r="50" spans="1:5" ht="25.5">
      <c r="A50" s="159" t="s">
        <v>434</v>
      </c>
      <c r="B50" s="111" t="s">
        <v>484</v>
      </c>
      <c r="C50" s="154"/>
      <c r="D50" s="88"/>
      <c r="E50" s="153">
        <f t="shared" si="0"/>
        <v>0</v>
      </c>
    </row>
    <row r="51" spans="1:5" ht="25.5">
      <c r="A51" s="159" t="s">
        <v>212</v>
      </c>
      <c r="B51" s="144" t="s">
        <v>485</v>
      </c>
      <c r="C51" s="154"/>
      <c r="D51" s="88"/>
      <c r="E51" s="153">
        <f t="shared" si="0"/>
        <v>0</v>
      </c>
    </row>
    <row r="52" spans="1:5" ht="15">
      <c r="A52" s="159" t="s">
        <v>435</v>
      </c>
      <c r="B52" s="144" t="s">
        <v>486</v>
      </c>
      <c r="C52" s="154">
        <v>0.3</v>
      </c>
      <c r="D52" s="88">
        <v>10</v>
      </c>
      <c r="E52" s="153">
        <f t="shared" si="0"/>
        <v>3</v>
      </c>
    </row>
    <row r="53" spans="1:5" ht="25.5">
      <c r="A53" s="159" t="s">
        <v>436</v>
      </c>
      <c r="B53" s="144" t="s">
        <v>487</v>
      </c>
      <c r="C53" s="154"/>
      <c r="D53" s="88"/>
      <c r="E53" s="153">
        <f t="shared" si="0"/>
        <v>0</v>
      </c>
    </row>
    <row r="54" spans="1:5" ht="25.5">
      <c r="A54" s="159" t="s">
        <v>437</v>
      </c>
      <c r="B54" s="144" t="s">
        <v>488</v>
      </c>
      <c r="C54" s="154"/>
      <c r="D54" s="88"/>
      <c r="E54" s="153">
        <f t="shared" si="0"/>
        <v>0</v>
      </c>
    </row>
    <row r="55" spans="1:5" ht="30">
      <c r="A55" s="159" t="s">
        <v>438</v>
      </c>
      <c r="B55" s="144" t="s">
        <v>489</v>
      </c>
      <c r="C55" s="154"/>
      <c r="D55" s="88"/>
      <c r="E55" s="153">
        <f t="shared" si="0"/>
        <v>0</v>
      </c>
    </row>
    <row r="56" spans="1:5" ht="30">
      <c r="A56" s="159" t="s">
        <v>439</v>
      </c>
      <c r="B56" s="144" t="s">
        <v>490</v>
      </c>
      <c r="C56" s="154"/>
      <c r="D56" s="88"/>
      <c r="E56" s="153">
        <f t="shared" si="0"/>
        <v>0</v>
      </c>
    </row>
    <row r="57" spans="1:5" ht="25.5">
      <c r="A57" s="159" t="s">
        <v>440</v>
      </c>
      <c r="B57" s="144" t="s">
        <v>491</v>
      </c>
      <c r="C57" s="154"/>
      <c r="D57" s="88"/>
      <c r="E57" s="153">
        <f t="shared" si="0"/>
        <v>0</v>
      </c>
    </row>
    <row r="58" spans="1:5" ht="15">
      <c r="A58" s="159" t="s">
        <v>63</v>
      </c>
      <c r="B58" s="144" t="s">
        <v>38</v>
      </c>
      <c r="C58" s="154">
        <v>1.07</v>
      </c>
      <c r="D58" s="185"/>
      <c r="E58" s="153">
        <f t="shared" si="0"/>
        <v>0</v>
      </c>
    </row>
    <row r="59" spans="1:5" ht="15">
      <c r="A59" s="159" t="s">
        <v>64</v>
      </c>
      <c r="B59" s="144" t="s">
        <v>38</v>
      </c>
      <c r="C59" s="154"/>
      <c r="D59" s="88"/>
      <c r="E59" s="153">
        <f t="shared" si="0"/>
        <v>0</v>
      </c>
    </row>
    <row r="60" spans="1:5" ht="15">
      <c r="A60" s="159" t="s">
        <v>65</v>
      </c>
      <c r="B60" s="144" t="s">
        <v>38</v>
      </c>
      <c r="C60" s="154">
        <v>1.215</v>
      </c>
      <c r="D60" s="88"/>
      <c r="E60" s="153">
        <f t="shared" si="0"/>
        <v>0</v>
      </c>
    </row>
    <row r="61" spans="1:5" ht="15">
      <c r="A61" s="159" t="s">
        <v>66</v>
      </c>
      <c r="B61" s="144" t="s">
        <v>38</v>
      </c>
      <c r="C61" s="154"/>
      <c r="D61" s="88"/>
      <c r="E61" s="153">
        <f t="shared" si="0"/>
        <v>0</v>
      </c>
    </row>
    <row r="62" spans="1:5" ht="48" customHeight="1">
      <c r="A62" s="159" t="s">
        <v>217</v>
      </c>
      <c r="B62" s="144" t="s">
        <v>492</v>
      </c>
      <c r="C62" s="154"/>
      <c r="D62" s="88"/>
      <c r="E62" s="153">
        <f t="shared" si="0"/>
        <v>0</v>
      </c>
    </row>
    <row r="63" spans="1:5" ht="29.25" customHeight="1">
      <c r="A63" s="159" t="s">
        <v>441</v>
      </c>
      <c r="B63" s="144" t="s">
        <v>493</v>
      </c>
      <c r="C63" s="154"/>
      <c r="D63" s="88"/>
      <c r="E63" s="153">
        <f t="shared" si="0"/>
        <v>0</v>
      </c>
    </row>
    <row r="64" spans="1:5" ht="30">
      <c r="A64" s="159" t="s">
        <v>442</v>
      </c>
      <c r="B64" s="111" t="s">
        <v>494</v>
      </c>
      <c r="C64" s="154"/>
      <c r="D64" s="88"/>
      <c r="E64" s="153">
        <f t="shared" si="0"/>
        <v>0</v>
      </c>
    </row>
    <row r="65" spans="1:5" ht="30">
      <c r="A65" s="159" t="s">
        <v>219</v>
      </c>
      <c r="B65" s="111" t="s">
        <v>38</v>
      </c>
      <c r="C65" s="154"/>
      <c r="D65" s="88"/>
      <c r="E65" s="153">
        <f t="shared" si="0"/>
        <v>0</v>
      </c>
    </row>
    <row r="66" spans="1:5" ht="30">
      <c r="A66" s="159" t="s">
        <v>401</v>
      </c>
      <c r="B66" s="111" t="s">
        <v>495</v>
      </c>
      <c r="C66" s="154">
        <v>11.62</v>
      </c>
      <c r="D66" s="88"/>
      <c r="E66" s="153">
        <f t="shared" si="0"/>
        <v>0</v>
      </c>
    </row>
    <row r="67" spans="1:5" ht="30">
      <c r="A67" s="159" t="s">
        <v>402</v>
      </c>
      <c r="B67" s="144" t="s">
        <v>38</v>
      </c>
      <c r="C67" s="154"/>
      <c r="D67" s="88"/>
      <c r="E67" s="153">
        <f t="shared" si="0"/>
        <v>0</v>
      </c>
    </row>
    <row r="68" spans="1:5" ht="30">
      <c r="A68" s="159" t="s">
        <v>403</v>
      </c>
      <c r="B68" s="111" t="s">
        <v>38</v>
      </c>
      <c r="C68" s="154"/>
      <c r="D68" s="88"/>
      <c r="E68" s="153">
        <f t="shared" si="0"/>
        <v>0</v>
      </c>
    </row>
    <row r="69" spans="1:5" ht="30">
      <c r="A69" s="159" t="s">
        <v>404</v>
      </c>
      <c r="B69" s="144" t="s">
        <v>38</v>
      </c>
      <c r="C69" s="154"/>
      <c r="D69" s="88"/>
      <c r="E69" s="153">
        <f t="shared" si="0"/>
        <v>0</v>
      </c>
    </row>
    <row r="70" spans="1:5" ht="21" customHeight="1">
      <c r="A70" s="159" t="s">
        <v>224</v>
      </c>
      <c r="B70" s="144" t="s">
        <v>38</v>
      </c>
      <c r="C70" s="154"/>
      <c r="D70" s="88"/>
      <c r="E70" s="153">
        <f t="shared" si="0"/>
        <v>0</v>
      </c>
    </row>
    <row r="71" spans="1:5" ht="30">
      <c r="A71" s="159" t="s">
        <v>443</v>
      </c>
      <c r="B71" s="111" t="s">
        <v>38</v>
      </c>
      <c r="C71" s="154"/>
      <c r="D71" s="88"/>
      <c r="E71" s="153">
        <f t="shared" si="0"/>
        <v>0</v>
      </c>
    </row>
    <row r="72" spans="1:5" ht="15">
      <c r="A72" s="159" t="s">
        <v>226</v>
      </c>
      <c r="B72" s="144" t="s">
        <v>38</v>
      </c>
      <c r="C72" s="154"/>
      <c r="D72" s="88"/>
      <c r="E72" s="153">
        <f aca="true" t="shared" si="1" ref="E72:E102">ROUND(C72*D72,2)</f>
        <v>0</v>
      </c>
    </row>
    <row r="73" spans="1:5" ht="30">
      <c r="A73" s="159" t="s">
        <v>227</v>
      </c>
      <c r="B73" s="144" t="s">
        <v>38</v>
      </c>
      <c r="C73" s="154"/>
      <c r="D73" s="88"/>
      <c r="E73" s="153">
        <f t="shared" si="1"/>
        <v>0</v>
      </c>
    </row>
    <row r="74" spans="1:5" ht="30">
      <c r="A74" s="159" t="s">
        <v>228</v>
      </c>
      <c r="B74" s="144" t="s">
        <v>38</v>
      </c>
      <c r="C74" s="154"/>
      <c r="D74" s="88"/>
      <c r="E74" s="153">
        <f t="shared" si="1"/>
        <v>0</v>
      </c>
    </row>
    <row r="75" spans="1:5" ht="15">
      <c r="A75" s="159" t="s">
        <v>411</v>
      </c>
      <c r="B75" s="144" t="s">
        <v>38</v>
      </c>
      <c r="C75" s="154"/>
      <c r="D75" s="88"/>
      <c r="E75" s="153">
        <f t="shared" si="1"/>
        <v>0</v>
      </c>
    </row>
    <row r="76" spans="1:5" ht="15">
      <c r="A76" s="159" t="s">
        <v>444</v>
      </c>
      <c r="B76" s="111" t="s">
        <v>38</v>
      </c>
      <c r="C76" s="153">
        <v>1.215</v>
      </c>
      <c r="D76" s="88"/>
      <c r="E76" s="153">
        <f t="shared" si="1"/>
        <v>0</v>
      </c>
    </row>
    <row r="77" spans="1:6" ht="15">
      <c r="A77" s="159" t="s">
        <v>445</v>
      </c>
      <c r="B77" s="144" t="s">
        <v>38</v>
      </c>
      <c r="C77" s="154"/>
      <c r="D77" s="88"/>
      <c r="E77" s="153">
        <f t="shared" si="1"/>
        <v>0</v>
      </c>
      <c r="F77" s="142"/>
    </row>
    <row r="78" spans="1:5" ht="15">
      <c r="A78" s="159" t="s">
        <v>446</v>
      </c>
      <c r="B78" s="144" t="s">
        <v>38</v>
      </c>
      <c r="C78" s="154"/>
      <c r="D78" s="88"/>
      <c r="E78" s="153">
        <f t="shared" si="1"/>
        <v>0</v>
      </c>
    </row>
    <row r="79" spans="1:5" ht="15">
      <c r="A79" s="159" t="s">
        <v>233</v>
      </c>
      <c r="B79" s="144" t="s">
        <v>38</v>
      </c>
      <c r="C79" s="154">
        <v>2.97</v>
      </c>
      <c r="D79" s="88"/>
      <c r="E79" s="153">
        <f t="shared" si="1"/>
        <v>0</v>
      </c>
    </row>
    <row r="80" spans="1:5" ht="15">
      <c r="A80" s="159" t="s">
        <v>447</v>
      </c>
      <c r="B80" s="144" t="s">
        <v>38</v>
      </c>
      <c r="C80" s="154"/>
      <c r="D80" s="88"/>
      <c r="E80" s="153">
        <f t="shared" si="1"/>
        <v>0</v>
      </c>
    </row>
    <row r="81" spans="1:5" ht="25.5">
      <c r="A81" s="159" t="s">
        <v>235</v>
      </c>
      <c r="B81" s="144" t="s">
        <v>496</v>
      </c>
      <c r="C81" s="154"/>
      <c r="D81" s="88"/>
      <c r="E81" s="153">
        <f t="shared" si="1"/>
        <v>0</v>
      </c>
    </row>
    <row r="82" spans="1:5" ht="15">
      <c r="A82" s="159" t="s">
        <v>235</v>
      </c>
      <c r="B82" s="111" t="s">
        <v>480</v>
      </c>
      <c r="C82" s="154"/>
      <c r="D82" s="88"/>
      <c r="E82" s="153">
        <f t="shared" si="1"/>
        <v>0</v>
      </c>
    </row>
    <row r="83" spans="1:5" ht="27.75" customHeight="1">
      <c r="A83" s="159" t="s">
        <v>236</v>
      </c>
      <c r="B83" s="144" t="s">
        <v>38</v>
      </c>
      <c r="C83" s="154">
        <v>2.35</v>
      </c>
      <c r="D83" s="88"/>
      <c r="E83" s="153">
        <f t="shared" si="1"/>
        <v>0</v>
      </c>
    </row>
    <row r="84" spans="1:5" ht="15">
      <c r="A84" s="159" t="s">
        <v>237</v>
      </c>
      <c r="B84" s="111" t="s">
        <v>38</v>
      </c>
      <c r="C84" s="154"/>
      <c r="D84" s="185"/>
      <c r="E84" s="153">
        <f t="shared" si="1"/>
        <v>0</v>
      </c>
    </row>
    <row r="85" spans="1:5" ht="25.5">
      <c r="A85" s="159" t="s">
        <v>448</v>
      </c>
      <c r="B85" s="111" t="s">
        <v>497</v>
      </c>
      <c r="C85" s="154">
        <v>3.15</v>
      </c>
      <c r="D85" s="88"/>
      <c r="E85" s="153">
        <f t="shared" si="1"/>
        <v>0</v>
      </c>
    </row>
    <row r="86" spans="1:5" ht="15">
      <c r="A86" s="159" t="s">
        <v>449</v>
      </c>
      <c r="B86" s="111" t="s">
        <v>480</v>
      </c>
      <c r="C86" s="154"/>
      <c r="D86" s="88"/>
      <c r="E86" s="153">
        <f t="shared" si="1"/>
        <v>0</v>
      </c>
    </row>
    <row r="87" spans="1:5" ht="15">
      <c r="A87" s="159" t="s">
        <v>450</v>
      </c>
      <c r="B87" s="144" t="s">
        <v>498</v>
      </c>
      <c r="C87" s="154"/>
      <c r="D87" s="88"/>
      <c r="E87" s="153">
        <f t="shared" si="1"/>
        <v>0</v>
      </c>
    </row>
    <row r="88" spans="1:5" ht="15">
      <c r="A88" s="159" t="s">
        <v>16</v>
      </c>
      <c r="B88" s="144" t="s">
        <v>38</v>
      </c>
      <c r="C88" s="154">
        <v>8.93</v>
      </c>
      <c r="D88" s="88"/>
      <c r="E88" s="153">
        <f t="shared" si="1"/>
        <v>0</v>
      </c>
    </row>
    <row r="89" spans="1:5" ht="15">
      <c r="A89" s="159" t="s">
        <v>238</v>
      </c>
      <c r="B89" s="144" t="s">
        <v>38</v>
      </c>
      <c r="C89" s="154"/>
      <c r="D89" s="88"/>
      <c r="E89" s="153">
        <f t="shared" si="1"/>
        <v>0</v>
      </c>
    </row>
    <row r="90" spans="1:5" ht="30">
      <c r="A90" s="159" t="s">
        <v>239</v>
      </c>
      <c r="B90" s="111" t="s">
        <v>38</v>
      </c>
      <c r="C90" s="154"/>
      <c r="D90" s="88"/>
      <c r="E90" s="153">
        <f t="shared" si="1"/>
        <v>0</v>
      </c>
    </row>
    <row r="91" spans="1:5" ht="15">
      <c r="A91" s="159" t="s">
        <v>240</v>
      </c>
      <c r="B91" s="144" t="s">
        <v>38</v>
      </c>
      <c r="C91" s="154"/>
      <c r="D91" s="88"/>
      <c r="E91" s="153">
        <f t="shared" si="1"/>
        <v>0</v>
      </c>
    </row>
    <row r="92" spans="1:5" ht="15.75">
      <c r="A92" s="159" t="s">
        <v>241</v>
      </c>
      <c r="B92" s="151" t="s">
        <v>38</v>
      </c>
      <c r="C92" s="171">
        <v>1.82</v>
      </c>
      <c r="D92" s="88"/>
      <c r="E92" s="153">
        <f t="shared" si="1"/>
        <v>0</v>
      </c>
    </row>
    <row r="93" spans="1:5" ht="15.75" customHeight="1">
      <c r="A93" s="159" t="s">
        <v>451</v>
      </c>
      <c r="B93" s="146" t="s">
        <v>480</v>
      </c>
      <c r="C93" s="154"/>
      <c r="D93" s="88"/>
      <c r="E93" s="153">
        <f t="shared" si="1"/>
        <v>0</v>
      </c>
    </row>
    <row r="94" spans="1:5" ht="19.5" customHeight="1">
      <c r="A94" s="159" t="s">
        <v>452</v>
      </c>
      <c r="B94" s="146" t="s">
        <v>499</v>
      </c>
      <c r="C94" s="154">
        <v>0.61</v>
      </c>
      <c r="D94" s="163"/>
      <c r="E94" s="153">
        <f t="shared" si="1"/>
        <v>0</v>
      </c>
    </row>
    <row r="95" spans="1:5" ht="15">
      <c r="A95" s="159" t="s">
        <v>453</v>
      </c>
      <c r="B95" s="146" t="s">
        <v>500</v>
      </c>
      <c r="C95" s="154">
        <v>1.02</v>
      </c>
      <c r="D95" s="88"/>
      <c r="E95" s="153">
        <f t="shared" si="1"/>
        <v>0</v>
      </c>
    </row>
    <row r="96" spans="1:5" ht="15">
      <c r="A96" s="159" t="s">
        <v>454</v>
      </c>
      <c r="B96" s="35" t="s">
        <v>501</v>
      </c>
      <c r="C96" s="35"/>
      <c r="D96" s="88"/>
      <c r="E96" s="153">
        <f t="shared" si="1"/>
        <v>0</v>
      </c>
    </row>
    <row r="97" spans="1:5" ht="15">
      <c r="A97" s="159" t="s">
        <v>242</v>
      </c>
      <c r="B97" s="35" t="s">
        <v>38</v>
      </c>
      <c r="C97" s="35">
        <v>0.95</v>
      </c>
      <c r="D97" s="88"/>
      <c r="E97" s="153">
        <f t="shared" si="1"/>
        <v>0</v>
      </c>
    </row>
    <row r="98" spans="1:5" ht="15">
      <c r="A98" s="159" t="s">
        <v>455</v>
      </c>
      <c r="B98" s="35" t="s">
        <v>38</v>
      </c>
      <c r="C98" s="35">
        <v>0.56</v>
      </c>
      <c r="D98" s="88"/>
      <c r="E98" s="153">
        <f t="shared" si="1"/>
        <v>0</v>
      </c>
    </row>
    <row r="99" spans="1:5" ht="30">
      <c r="A99" s="161" t="s">
        <v>243</v>
      </c>
      <c r="B99" s="35"/>
      <c r="C99" s="35"/>
      <c r="D99" s="88"/>
      <c r="E99" s="153">
        <f t="shared" si="1"/>
        <v>0</v>
      </c>
    </row>
    <row r="100" spans="1:5" ht="15">
      <c r="A100" s="165" t="s">
        <v>456</v>
      </c>
      <c r="B100" s="35" t="s">
        <v>502</v>
      </c>
      <c r="C100" s="35">
        <v>1.69</v>
      </c>
      <c r="D100" s="88"/>
      <c r="E100" s="153">
        <f t="shared" si="1"/>
        <v>0</v>
      </c>
    </row>
    <row r="101" spans="1:5" ht="15">
      <c r="A101" s="165" t="s">
        <v>457</v>
      </c>
      <c r="B101" s="35" t="s">
        <v>502</v>
      </c>
      <c r="C101" s="35">
        <v>1.89</v>
      </c>
      <c r="D101" s="88"/>
      <c r="E101" s="153">
        <f t="shared" si="1"/>
        <v>0</v>
      </c>
    </row>
    <row r="102" spans="1:5" ht="15">
      <c r="A102" s="165" t="s">
        <v>508</v>
      </c>
      <c r="B102" s="35" t="s">
        <v>503</v>
      </c>
      <c r="C102" s="35">
        <v>0.999</v>
      </c>
      <c r="D102" s="88"/>
      <c r="E102" s="153">
        <f t="shared" si="1"/>
        <v>0</v>
      </c>
    </row>
    <row r="104" spans="1:5" ht="15">
      <c r="A104" s="63" t="s">
        <v>572</v>
      </c>
      <c r="B104" s="35"/>
      <c r="C104" s="35"/>
      <c r="D104" s="35"/>
      <c r="E104" s="177">
        <f>SUM(E7:E103)-E45</f>
        <v>168.65</v>
      </c>
    </row>
    <row r="105" spans="1:5" ht="15">
      <c r="A105" s="178" t="s">
        <v>505</v>
      </c>
      <c r="B105" s="35"/>
      <c r="C105" s="35"/>
      <c r="D105" s="35"/>
      <c r="E105" s="179">
        <f>E104*22%</f>
        <v>37.103</v>
      </c>
    </row>
    <row r="106" spans="1:5" ht="15">
      <c r="A106" s="63" t="s">
        <v>573</v>
      </c>
      <c r="B106" s="35"/>
      <c r="C106" s="35"/>
      <c r="D106" s="35"/>
      <c r="E106" s="179">
        <v>20</v>
      </c>
    </row>
    <row r="107" spans="1:5" ht="15">
      <c r="A107" s="178" t="s">
        <v>574</v>
      </c>
      <c r="B107" s="35"/>
      <c r="C107" s="35"/>
      <c r="D107" s="35"/>
      <c r="E107" s="179">
        <f>E106*5%</f>
        <v>1</v>
      </c>
    </row>
    <row r="108" spans="1:5" ht="15">
      <c r="A108" s="180" t="s">
        <v>504</v>
      </c>
      <c r="B108" s="35"/>
      <c r="C108" s="35"/>
      <c r="D108" s="35"/>
      <c r="E108" s="179">
        <f>SUM(E104:E107)</f>
        <v>226.75300000000001</v>
      </c>
    </row>
  </sheetData>
  <sheetProtection/>
  <mergeCells count="4">
    <mergeCell ref="A2:F2"/>
    <mergeCell ref="A3:F3"/>
    <mergeCell ref="A4:A5"/>
    <mergeCell ref="B4:E4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4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8"/>
  <sheetViews>
    <sheetView zoomScalePageLayoutView="0" workbookViewId="0" topLeftCell="A79">
      <selection activeCell="A102" sqref="A102"/>
    </sheetView>
  </sheetViews>
  <sheetFormatPr defaultColWidth="9.140625" defaultRowHeight="12.75"/>
  <cols>
    <col min="1" max="1" width="51.28125" style="0" customWidth="1"/>
    <col min="2" max="2" width="14.8515625" style="0" customWidth="1"/>
    <col min="3" max="3" width="12.57421875" style="0" customWidth="1"/>
    <col min="4" max="4" width="12.00390625" style="0" customWidth="1"/>
    <col min="5" max="5" width="9.7109375" style="0" customWidth="1"/>
    <col min="6" max="6" width="9.140625" style="0" hidden="1" customWidth="1"/>
  </cols>
  <sheetData>
    <row r="2" spans="1:6" ht="12.75">
      <c r="A2" s="202" t="s">
        <v>414</v>
      </c>
      <c r="B2" s="202"/>
      <c r="C2" s="202"/>
      <c r="D2" s="202"/>
      <c r="E2" s="202"/>
      <c r="F2" s="202"/>
    </row>
    <row r="3" spans="1:6" ht="13.5" thickBot="1">
      <c r="A3" s="203" t="s">
        <v>417</v>
      </c>
      <c r="B3" s="203"/>
      <c r="C3" s="201"/>
      <c r="D3" s="201"/>
      <c r="E3" s="201"/>
      <c r="F3" s="201"/>
    </row>
    <row r="4" spans="1:6" ht="12.75">
      <c r="A4" s="204" t="s">
        <v>0</v>
      </c>
      <c r="B4" s="206" t="s">
        <v>420</v>
      </c>
      <c r="C4" s="207"/>
      <c r="D4" s="207"/>
      <c r="E4" s="208"/>
      <c r="F4" s="10"/>
    </row>
    <row r="5" spans="1:6" ht="25.5">
      <c r="A5" s="205"/>
      <c r="B5" s="193" t="s">
        <v>564</v>
      </c>
      <c r="C5" s="148" t="s">
        <v>413</v>
      </c>
      <c r="D5" s="147" t="s">
        <v>412</v>
      </c>
      <c r="E5" s="186" t="s">
        <v>416</v>
      </c>
      <c r="F5" s="11"/>
    </row>
    <row r="6" spans="1:6" ht="30">
      <c r="A6" s="158" t="s">
        <v>400</v>
      </c>
      <c r="B6" s="151"/>
      <c r="C6" s="151"/>
      <c r="D6" s="151"/>
      <c r="E6" s="151"/>
      <c r="F6" s="9"/>
    </row>
    <row r="7" spans="1:6" ht="60">
      <c r="A7" s="165" t="s">
        <v>178</v>
      </c>
      <c r="B7" s="144" t="s">
        <v>459</v>
      </c>
      <c r="C7" s="154">
        <v>1.72</v>
      </c>
      <c r="D7" s="88">
        <v>40</v>
      </c>
      <c r="E7" s="197">
        <f>ROUND(C7*D7,2)</f>
        <v>68.8</v>
      </c>
      <c r="F7" s="9"/>
    </row>
    <row r="8" spans="1:6" ht="74.25">
      <c r="A8" s="174" t="s">
        <v>422</v>
      </c>
      <c r="B8" s="144" t="s">
        <v>460</v>
      </c>
      <c r="C8" s="154">
        <v>7.2</v>
      </c>
      <c r="D8" s="88">
        <v>6</v>
      </c>
      <c r="E8" s="197">
        <f aca="true" t="shared" si="0" ref="E8:E71">ROUND(C8*D8,2)</f>
        <v>43.2</v>
      </c>
      <c r="F8" s="9"/>
    </row>
    <row r="9" spans="1:6" ht="15">
      <c r="A9" s="165" t="s">
        <v>521</v>
      </c>
      <c r="B9" s="144">
        <v>3000</v>
      </c>
      <c r="C9" s="154">
        <v>16.5</v>
      </c>
      <c r="D9" s="163"/>
      <c r="E9" s="197">
        <f t="shared" si="0"/>
        <v>0</v>
      </c>
      <c r="F9" s="9"/>
    </row>
    <row r="10" spans="1:6" ht="15">
      <c r="A10" s="165" t="s">
        <v>423</v>
      </c>
      <c r="B10" s="104" t="s">
        <v>38</v>
      </c>
      <c r="C10" s="154"/>
      <c r="D10" s="163"/>
      <c r="E10" s="197">
        <f t="shared" si="0"/>
        <v>0</v>
      </c>
      <c r="F10" s="9"/>
    </row>
    <row r="11" spans="1:6" ht="30">
      <c r="A11" s="165" t="s">
        <v>183</v>
      </c>
      <c r="B11" s="104" t="s">
        <v>38</v>
      </c>
      <c r="C11" s="154"/>
      <c r="D11" s="88"/>
      <c r="E11" s="197">
        <f t="shared" si="0"/>
        <v>0</v>
      </c>
      <c r="F11" s="9"/>
    </row>
    <row r="12" spans="1:6" ht="15">
      <c r="A12" s="165" t="s">
        <v>184</v>
      </c>
      <c r="B12" s="104" t="s">
        <v>38</v>
      </c>
      <c r="C12" s="154">
        <v>5.1</v>
      </c>
      <c r="D12" s="88">
        <v>5</v>
      </c>
      <c r="E12" s="197">
        <f t="shared" si="0"/>
        <v>25.5</v>
      </c>
      <c r="F12" s="9"/>
    </row>
    <row r="13" spans="1:6" ht="30">
      <c r="A13" s="165" t="s">
        <v>424</v>
      </c>
      <c r="B13" s="104" t="s">
        <v>461</v>
      </c>
      <c r="C13" s="154"/>
      <c r="D13" s="88"/>
      <c r="E13" s="197">
        <f t="shared" si="0"/>
        <v>0</v>
      </c>
      <c r="F13" s="9"/>
    </row>
    <row r="14" spans="1:6" ht="25.5">
      <c r="A14" s="165" t="s">
        <v>185</v>
      </c>
      <c r="B14" s="104" t="s">
        <v>462</v>
      </c>
      <c r="C14" s="154"/>
      <c r="D14" s="88"/>
      <c r="E14" s="197">
        <f t="shared" si="0"/>
        <v>0</v>
      </c>
      <c r="F14" s="9"/>
    </row>
    <row r="15" spans="1:6" ht="16.5" customHeight="1">
      <c r="A15" s="165" t="s">
        <v>425</v>
      </c>
      <c r="B15" s="104" t="s">
        <v>463</v>
      </c>
      <c r="C15" s="154"/>
      <c r="D15" s="88"/>
      <c r="E15" s="197">
        <f t="shared" si="0"/>
        <v>0</v>
      </c>
      <c r="F15" s="9"/>
    </row>
    <row r="16" spans="1:6" ht="16.5" customHeight="1">
      <c r="A16" s="165" t="s">
        <v>426</v>
      </c>
      <c r="B16" s="104" t="s">
        <v>463</v>
      </c>
      <c r="C16" s="154"/>
      <c r="D16" s="88"/>
      <c r="E16" s="197">
        <f t="shared" si="0"/>
        <v>0</v>
      </c>
      <c r="F16" s="9"/>
    </row>
    <row r="17" spans="1:6" ht="16.5" customHeight="1">
      <c r="A17" s="165" t="s">
        <v>186</v>
      </c>
      <c r="B17" s="104" t="s">
        <v>38</v>
      </c>
      <c r="C17" s="154">
        <v>2.1</v>
      </c>
      <c r="D17" s="88">
        <v>3</v>
      </c>
      <c r="E17" s="197">
        <f t="shared" si="0"/>
        <v>6.3</v>
      </c>
      <c r="F17" s="9"/>
    </row>
    <row r="18" spans="1:6" ht="15.75">
      <c r="A18" s="165" t="s">
        <v>187</v>
      </c>
      <c r="B18" s="151" t="s">
        <v>38</v>
      </c>
      <c r="C18" s="151"/>
      <c r="D18" s="88"/>
      <c r="E18" s="197">
        <f t="shared" si="0"/>
        <v>0</v>
      </c>
      <c r="F18" s="9"/>
    </row>
    <row r="19" spans="1:6" ht="30">
      <c r="A19" s="161" t="s">
        <v>188</v>
      </c>
      <c r="B19" s="144"/>
      <c r="C19" s="154"/>
      <c r="D19" s="88"/>
      <c r="E19" s="197">
        <f t="shared" si="0"/>
        <v>0</v>
      </c>
      <c r="F19" s="9"/>
    </row>
    <row r="20" spans="1:6" ht="60">
      <c r="A20" s="165" t="s">
        <v>253</v>
      </c>
      <c r="B20" s="144" t="s">
        <v>464</v>
      </c>
      <c r="C20" s="154">
        <v>1.25</v>
      </c>
      <c r="D20" s="88">
        <v>12</v>
      </c>
      <c r="E20" s="197">
        <f t="shared" si="0"/>
        <v>15</v>
      </c>
      <c r="F20" s="9"/>
    </row>
    <row r="21" spans="1:6" ht="45">
      <c r="A21" s="165" t="s">
        <v>254</v>
      </c>
      <c r="B21" s="144" t="s">
        <v>465</v>
      </c>
      <c r="C21" s="154">
        <v>0.97</v>
      </c>
      <c r="D21" s="88">
        <v>5</v>
      </c>
      <c r="E21" s="197">
        <f t="shared" si="0"/>
        <v>4.85</v>
      </c>
      <c r="F21" s="9"/>
    </row>
    <row r="22" spans="1:6" ht="45">
      <c r="A22" s="165" t="s">
        <v>189</v>
      </c>
      <c r="B22" s="144" t="s">
        <v>466</v>
      </c>
      <c r="C22" s="154"/>
      <c r="D22" s="88"/>
      <c r="E22" s="197">
        <f t="shared" si="0"/>
        <v>0</v>
      </c>
      <c r="F22" s="9"/>
    </row>
    <row r="23" spans="1:6" ht="30">
      <c r="A23" s="165" t="s">
        <v>58</v>
      </c>
      <c r="B23" s="144" t="s">
        <v>467</v>
      </c>
      <c r="C23" s="154"/>
      <c r="D23" s="88"/>
      <c r="E23" s="197">
        <f t="shared" si="0"/>
        <v>0</v>
      </c>
      <c r="F23" s="9"/>
    </row>
    <row r="24" spans="1:6" ht="15">
      <c r="A24" s="165" t="s">
        <v>190</v>
      </c>
      <c r="B24" s="144" t="s">
        <v>467</v>
      </c>
      <c r="C24" s="154">
        <v>1.87</v>
      </c>
      <c r="D24" s="88">
        <v>32</v>
      </c>
      <c r="E24" s="197">
        <f t="shared" si="0"/>
        <v>59.84</v>
      </c>
      <c r="F24" s="9"/>
    </row>
    <row r="25" spans="1:6" ht="15">
      <c r="A25" s="165" t="s">
        <v>528</v>
      </c>
      <c r="B25" s="144" t="s">
        <v>467</v>
      </c>
      <c r="C25" s="154"/>
      <c r="D25" s="88"/>
      <c r="E25" s="197">
        <f t="shared" si="0"/>
        <v>0</v>
      </c>
      <c r="F25" s="9"/>
    </row>
    <row r="26" spans="1:6" ht="15">
      <c r="A26" s="165" t="s">
        <v>530</v>
      </c>
      <c r="B26" s="144" t="s">
        <v>467</v>
      </c>
      <c r="C26" s="154"/>
      <c r="D26" s="88"/>
      <c r="E26" s="197">
        <f t="shared" si="0"/>
        <v>0</v>
      </c>
      <c r="F26" s="9"/>
    </row>
    <row r="27" spans="1:6" ht="15">
      <c r="A27" s="165" t="s">
        <v>526</v>
      </c>
      <c r="B27" s="144" t="s">
        <v>468</v>
      </c>
      <c r="C27" s="154"/>
      <c r="D27" s="88"/>
      <c r="E27" s="197">
        <f t="shared" si="0"/>
        <v>0</v>
      </c>
      <c r="F27" s="9"/>
    </row>
    <row r="28" spans="1:6" ht="15">
      <c r="A28" s="165" t="s">
        <v>527</v>
      </c>
      <c r="B28" s="145" t="s">
        <v>469</v>
      </c>
      <c r="C28" s="154">
        <v>1.38</v>
      </c>
      <c r="D28" s="88">
        <v>8</v>
      </c>
      <c r="E28" s="197">
        <f t="shared" si="0"/>
        <v>11.04</v>
      </c>
      <c r="F28" s="9"/>
    </row>
    <row r="29" spans="1:6" ht="15">
      <c r="A29" s="165" t="s">
        <v>529</v>
      </c>
      <c r="B29" s="145" t="s">
        <v>469</v>
      </c>
      <c r="C29" s="154"/>
      <c r="D29" s="88"/>
      <c r="E29" s="197">
        <f t="shared" si="0"/>
        <v>0</v>
      </c>
      <c r="F29" s="9"/>
    </row>
    <row r="30" spans="1:6" ht="31.5">
      <c r="A30" s="165" t="s">
        <v>525</v>
      </c>
      <c r="B30" s="109" t="s">
        <v>470</v>
      </c>
      <c r="C30" s="109">
        <v>9.99</v>
      </c>
      <c r="D30" s="88">
        <v>2</v>
      </c>
      <c r="E30" s="197">
        <f t="shared" si="0"/>
        <v>19.98</v>
      </c>
      <c r="F30" s="9"/>
    </row>
    <row r="31" spans="1:6" ht="30">
      <c r="A31" s="161" t="s">
        <v>406</v>
      </c>
      <c r="B31" s="145"/>
      <c r="C31" s="154"/>
      <c r="D31" s="88"/>
      <c r="E31" s="197">
        <f t="shared" si="0"/>
        <v>0</v>
      </c>
      <c r="F31" s="9"/>
    </row>
    <row r="32" spans="1:6" ht="30">
      <c r="A32" s="165" t="s">
        <v>532</v>
      </c>
      <c r="B32" s="144" t="s">
        <v>471</v>
      </c>
      <c r="C32" s="154">
        <v>2.6</v>
      </c>
      <c r="D32" s="88">
        <v>2</v>
      </c>
      <c r="E32" s="197">
        <f t="shared" si="0"/>
        <v>5.2</v>
      </c>
      <c r="F32" s="9"/>
    </row>
    <row r="33" spans="1:6" ht="45">
      <c r="A33" s="165" t="s">
        <v>531</v>
      </c>
      <c r="B33" s="144" t="s">
        <v>471</v>
      </c>
      <c r="C33" s="154"/>
      <c r="D33" s="88"/>
      <c r="E33" s="197">
        <f t="shared" si="0"/>
        <v>0</v>
      </c>
      <c r="F33" s="29"/>
    </row>
    <row r="34" spans="1:6" ht="60">
      <c r="A34" s="165" t="s">
        <v>197</v>
      </c>
      <c r="B34" s="144" t="s">
        <v>472</v>
      </c>
      <c r="C34" s="154"/>
      <c r="D34" s="88"/>
      <c r="E34" s="197">
        <f t="shared" si="0"/>
        <v>0</v>
      </c>
      <c r="F34" s="29"/>
    </row>
    <row r="35" spans="1:6" ht="45">
      <c r="A35" s="165" t="s">
        <v>198</v>
      </c>
      <c r="B35" s="144" t="s">
        <v>473</v>
      </c>
      <c r="C35" s="154"/>
      <c r="D35" s="88"/>
      <c r="E35" s="197">
        <f t="shared" si="0"/>
        <v>0</v>
      </c>
      <c r="F35" s="28"/>
    </row>
    <row r="36" spans="1:6" ht="30">
      <c r="A36" s="165" t="s">
        <v>200</v>
      </c>
      <c r="B36" s="144" t="s">
        <v>474</v>
      </c>
      <c r="C36" s="154">
        <v>1.16</v>
      </c>
      <c r="D36" s="88">
        <v>4</v>
      </c>
      <c r="E36" s="197">
        <f t="shared" si="0"/>
        <v>4.64</v>
      </c>
      <c r="F36" s="28"/>
    </row>
    <row r="37" spans="1:6" ht="15">
      <c r="A37" s="165" t="s">
        <v>409</v>
      </c>
      <c r="B37" s="144" t="s">
        <v>475</v>
      </c>
      <c r="C37" s="154"/>
      <c r="D37" s="88"/>
      <c r="E37" s="197">
        <f t="shared" si="0"/>
        <v>0</v>
      </c>
      <c r="F37" s="28"/>
    </row>
    <row r="38" spans="1:6" ht="28.5">
      <c r="A38" s="162" t="s">
        <v>405</v>
      </c>
      <c r="B38" s="166"/>
      <c r="C38" s="169"/>
      <c r="D38" s="88"/>
      <c r="E38" s="197">
        <f t="shared" si="0"/>
        <v>0</v>
      </c>
      <c r="F38" s="28"/>
    </row>
    <row r="39" spans="1:6" ht="30">
      <c r="A39" s="165" t="s">
        <v>204</v>
      </c>
      <c r="B39" s="144" t="s">
        <v>476</v>
      </c>
      <c r="C39" s="154"/>
      <c r="D39" s="88"/>
      <c r="E39" s="197">
        <f t="shared" si="0"/>
        <v>0</v>
      </c>
      <c r="F39" s="28"/>
    </row>
    <row r="40" spans="1:6" ht="30">
      <c r="A40" s="165" t="s">
        <v>258</v>
      </c>
      <c r="B40" s="144" t="s">
        <v>477</v>
      </c>
      <c r="C40" s="154"/>
      <c r="D40" s="88"/>
      <c r="E40" s="197">
        <f t="shared" si="0"/>
        <v>0</v>
      </c>
      <c r="F40" s="28"/>
    </row>
    <row r="41" spans="1:6" ht="30">
      <c r="A41" s="165" t="s">
        <v>430</v>
      </c>
      <c r="B41" s="144" t="s">
        <v>478</v>
      </c>
      <c r="C41" s="154"/>
      <c r="D41" s="88"/>
      <c r="E41" s="197">
        <f t="shared" si="0"/>
        <v>0</v>
      </c>
      <c r="F41" s="28"/>
    </row>
    <row r="42" spans="1:6" ht="15">
      <c r="A42" s="165" t="s">
        <v>410</v>
      </c>
      <c r="B42" s="144" t="s">
        <v>152</v>
      </c>
      <c r="C42" s="154"/>
      <c r="D42" s="88"/>
      <c r="E42" s="197">
        <f t="shared" si="0"/>
        <v>0</v>
      </c>
      <c r="F42" s="28"/>
    </row>
    <row r="43" spans="1:6" ht="15.75">
      <c r="A43" s="161" t="s">
        <v>206</v>
      </c>
      <c r="B43" s="151"/>
      <c r="C43" s="170"/>
      <c r="D43" s="88"/>
      <c r="E43" s="197">
        <f t="shared" si="0"/>
        <v>0</v>
      </c>
      <c r="F43" s="28"/>
    </row>
    <row r="44" spans="1:6" ht="30">
      <c r="A44" s="165" t="s">
        <v>61</v>
      </c>
      <c r="B44" s="155" t="s">
        <v>33</v>
      </c>
      <c r="C44" s="154"/>
      <c r="D44" s="88"/>
      <c r="E44" s="197">
        <f t="shared" si="0"/>
        <v>0</v>
      </c>
      <c r="F44" s="150"/>
    </row>
    <row r="45" spans="1:6" ht="15">
      <c r="A45" s="165" t="s">
        <v>506</v>
      </c>
      <c r="B45" s="146" t="s">
        <v>479</v>
      </c>
      <c r="C45" s="154">
        <v>4</v>
      </c>
      <c r="D45" s="163">
        <v>6</v>
      </c>
      <c r="E45" s="197">
        <f t="shared" si="0"/>
        <v>24</v>
      </c>
      <c r="F45" s="150"/>
    </row>
    <row r="46" spans="1:6" ht="30">
      <c r="A46" s="165" t="s">
        <v>431</v>
      </c>
      <c r="B46" s="146" t="s">
        <v>480</v>
      </c>
      <c r="C46" s="154"/>
      <c r="D46" s="163"/>
      <c r="E46" s="197">
        <f t="shared" si="0"/>
        <v>0</v>
      </c>
      <c r="F46" s="28"/>
    </row>
    <row r="47" spans="1:6" ht="15">
      <c r="A47" s="165" t="s">
        <v>208</v>
      </c>
      <c r="B47" s="144" t="s">
        <v>481</v>
      </c>
      <c r="C47" s="154">
        <v>0.37</v>
      </c>
      <c r="D47" s="88">
        <v>4</v>
      </c>
      <c r="E47" s="197">
        <f t="shared" si="0"/>
        <v>1.48</v>
      </c>
      <c r="F47" s="28"/>
    </row>
    <row r="48" spans="1:6" ht="15">
      <c r="A48" s="165" t="s">
        <v>533</v>
      </c>
      <c r="B48" s="146" t="s">
        <v>482</v>
      </c>
      <c r="C48" s="154"/>
      <c r="D48" s="88"/>
      <c r="E48" s="197">
        <f t="shared" si="0"/>
        <v>0</v>
      </c>
      <c r="F48" s="28"/>
    </row>
    <row r="49" spans="1:6" ht="30">
      <c r="A49" s="165" t="s">
        <v>534</v>
      </c>
      <c r="B49" s="144" t="s">
        <v>483</v>
      </c>
      <c r="C49" s="154"/>
      <c r="D49" s="88"/>
      <c r="E49" s="197">
        <f t="shared" si="0"/>
        <v>0</v>
      </c>
      <c r="F49" s="28"/>
    </row>
    <row r="50" spans="1:5" ht="15">
      <c r="A50" s="165" t="s">
        <v>434</v>
      </c>
      <c r="B50" s="144" t="s">
        <v>484</v>
      </c>
      <c r="C50" s="154"/>
      <c r="D50" s="88"/>
      <c r="E50" s="197">
        <f t="shared" si="0"/>
        <v>0</v>
      </c>
    </row>
    <row r="51" spans="1:5" ht="15">
      <c r="A51" s="165" t="s">
        <v>212</v>
      </c>
      <c r="B51" s="146" t="s">
        <v>485</v>
      </c>
      <c r="C51" s="154"/>
      <c r="D51" s="88"/>
      <c r="E51" s="197">
        <f t="shared" si="0"/>
        <v>0</v>
      </c>
    </row>
    <row r="52" spans="1:5" ht="15">
      <c r="A52" s="165" t="s">
        <v>435</v>
      </c>
      <c r="B52" s="111" t="s">
        <v>486</v>
      </c>
      <c r="C52" s="154"/>
      <c r="D52" s="88"/>
      <c r="E52" s="197">
        <f t="shared" si="0"/>
        <v>0</v>
      </c>
    </row>
    <row r="53" spans="1:5" ht="25.5">
      <c r="A53" s="165" t="s">
        <v>436</v>
      </c>
      <c r="B53" s="144" t="s">
        <v>487</v>
      </c>
      <c r="C53" s="154">
        <v>6.5</v>
      </c>
      <c r="D53" s="88">
        <v>1</v>
      </c>
      <c r="E53" s="197">
        <f t="shared" si="0"/>
        <v>6.5</v>
      </c>
    </row>
    <row r="54" spans="1:5" ht="25.5">
      <c r="A54" s="165" t="s">
        <v>437</v>
      </c>
      <c r="B54" s="144" t="s">
        <v>488</v>
      </c>
      <c r="C54" s="154"/>
      <c r="D54" s="184"/>
      <c r="E54" s="197">
        <f t="shared" si="0"/>
        <v>0</v>
      </c>
    </row>
    <row r="55" spans="1:5" ht="25.5">
      <c r="A55" s="165" t="s">
        <v>438</v>
      </c>
      <c r="B55" s="144" t="s">
        <v>489</v>
      </c>
      <c r="C55" s="154"/>
      <c r="D55" s="88"/>
      <c r="E55" s="197">
        <f t="shared" si="0"/>
        <v>0</v>
      </c>
    </row>
    <row r="56" spans="1:5" ht="25.5">
      <c r="A56" s="165" t="s">
        <v>439</v>
      </c>
      <c r="B56" s="144" t="s">
        <v>490</v>
      </c>
      <c r="C56" s="154"/>
      <c r="D56" s="88"/>
      <c r="E56" s="197">
        <f t="shared" si="0"/>
        <v>0</v>
      </c>
    </row>
    <row r="57" spans="1:5" ht="25.5">
      <c r="A57" s="165" t="s">
        <v>440</v>
      </c>
      <c r="B57" s="144" t="s">
        <v>491</v>
      </c>
      <c r="C57" s="154"/>
      <c r="D57" s="88"/>
      <c r="E57" s="197">
        <f t="shared" si="0"/>
        <v>0</v>
      </c>
    </row>
    <row r="58" spans="1:5" ht="15">
      <c r="A58" s="165" t="s">
        <v>63</v>
      </c>
      <c r="B58" s="144" t="s">
        <v>38</v>
      </c>
      <c r="C58" s="154">
        <v>1.07</v>
      </c>
      <c r="D58" s="88">
        <v>4</v>
      </c>
      <c r="E58" s="197">
        <f t="shared" si="0"/>
        <v>4.28</v>
      </c>
    </row>
    <row r="59" spans="1:5" ht="15">
      <c r="A59" s="165" t="s">
        <v>64</v>
      </c>
      <c r="B59" s="144" t="s">
        <v>38</v>
      </c>
      <c r="C59" s="154"/>
      <c r="D59" s="88"/>
      <c r="E59" s="197">
        <f t="shared" si="0"/>
        <v>0</v>
      </c>
    </row>
    <row r="60" spans="1:5" ht="15">
      <c r="A60" s="165" t="s">
        <v>65</v>
      </c>
      <c r="B60" s="144" t="s">
        <v>38</v>
      </c>
      <c r="C60" s="154"/>
      <c r="D60" s="88"/>
      <c r="E60" s="197">
        <f t="shared" si="0"/>
        <v>0</v>
      </c>
    </row>
    <row r="61" spans="1:5" ht="15">
      <c r="A61" s="165" t="s">
        <v>66</v>
      </c>
      <c r="B61" s="144" t="s">
        <v>38</v>
      </c>
      <c r="C61" s="154"/>
      <c r="D61" s="88"/>
      <c r="E61" s="197">
        <f t="shared" si="0"/>
        <v>0</v>
      </c>
    </row>
    <row r="62" spans="1:5" ht="30">
      <c r="A62" s="165" t="s">
        <v>217</v>
      </c>
      <c r="B62" s="144" t="s">
        <v>492</v>
      </c>
      <c r="C62" s="154"/>
      <c r="D62" s="88"/>
      <c r="E62" s="197">
        <f t="shared" si="0"/>
        <v>0</v>
      </c>
    </row>
    <row r="63" spans="1:5" ht="25.5">
      <c r="A63" s="165" t="s">
        <v>441</v>
      </c>
      <c r="B63" s="144" t="s">
        <v>493</v>
      </c>
      <c r="C63" s="154">
        <v>4.75</v>
      </c>
      <c r="D63" s="88">
        <v>5</v>
      </c>
      <c r="E63" s="197">
        <f t="shared" si="0"/>
        <v>23.75</v>
      </c>
    </row>
    <row r="64" spans="1:5" ht="25.5">
      <c r="A64" s="165" t="s">
        <v>442</v>
      </c>
      <c r="B64" s="144" t="s">
        <v>494</v>
      </c>
      <c r="C64" s="154"/>
      <c r="D64" s="88"/>
      <c r="E64" s="197">
        <f t="shared" si="0"/>
        <v>0</v>
      </c>
    </row>
    <row r="65" spans="1:5" ht="15">
      <c r="A65" s="165" t="s">
        <v>219</v>
      </c>
      <c r="B65" s="144" t="s">
        <v>38</v>
      </c>
      <c r="C65" s="154">
        <v>1.3</v>
      </c>
      <c r="D65" s="88">
        <v>4</v>
      </c>
      <c r="E65" s="197">
        <f t="shared" si="0"/>
        <v>5.2</v>
      </c>
    </row>
    <row r="66" spans="1:5" ht="30">
      <c r="A66" s="165" t="s">
        <v>401</v>
      </c>
      <c r="B66" s="111" t="s">
        <v>495</v>
      </c>
      <c r="C66" s="154"/>
      <c r="D66" s="88"/>
      <c r="E66" s="197">
        <f t="shared" si="0"/>
        <v>0</v>
      </c>
    </row>
    <row r="67" spans="1:5" ht="30">
      <c r="A67" s="165" t="s">
        <v>402</v>
      </c>
      <c r="B67" s="111" t="s">
        <v>38</v>
      </c>
      <c r="C67" s="154"/>
      <c r="D67" s="88"/>
      <c r="E67" s="197">
        <f t="shared" si="0"/>
        <v>0</v>
      </c>
    </row>
    <row r="68" spans="1:5" ht="30">
      <c r="A68" s="165" t="s">
        <v>403</v>
      </c>
      <c r="B68" s="111" t="s">
        <v>38</v>
      </c>
      <c r="C68" s="154"/>
      <c r="D68" s="88"/>
      <c r="E68" s="197">
        <f t="shared" si="0"/>
        <v>0</v>
      </c>
    </row>
    <row r="69" spans="1:5" ht="30">
      <c r="A69" s="165" t="s">
        <v>404</v>
      </c>
      <c r="B69" s="144" t="s">
        <v>38</v>
      </c>
      <c r="C69" s="154"/>
      <c r="D69" s="88"/>
      <c r="E69" s="197">
        <f t="shared" si="0"/>
        <v>0</v>
      </c>
    </row>
    <row r="70" spans="1:5" ht="15">
      <c r="A70" s="165" t="s">
        <v>224</v>
      </c>
      <c r="B70" s="111" t="s">
        <v>38</v>
      </c>
      <c r="C70" s="154"/>
      <c r="D70" s="183"/>
      <c r="E70" s="197">
        <f t="shared" si="0"/>
        <v>0</v>
      </c>
    </row>
    <row r="71" spans="1:5" ht="15">
      <c r="A71" s="165" t="s">
        <v>443</v>
      </c>
      <c r="B71" s="144" t="s">
        <v>38</v>
      </c>
      <c r="C71" s="154"/>
      <c r="D71" s="88"/>
      <c r="E71" s="197">
        <f t="shared" si="0"/>
        <v>0</v>
      </c>
    </row>
    <row r="72" spans="1:5" ht="15">
      <c r="A72" s="165" t="s">
        <v>226</v>
      </c>
      <c r="B72" s="144" t="s">
        <v>38</v>
      </c>
      <c r="C72" s="154"/>
      <c r="D72" s="88"/>
      <c r="E72" s="197">
        <f aca="true" t="shared" si="1" ref="E72:E102">ROUND(C72*D72,2)</f>
        <v>0</v>
      </c>
    </row>
    <row r="73" spans="1:5" ht="30">
      <c r="A73" s="165" t="s">
        <v>227</v>
      </c>
      <c r="B73" s="111" t="s">
        <v>38</v>
      </c>
      <c r="C73" s="154"/>
      <c r="D73" s="88"/>
      <c r="E73" s="197">
        <f t="shared" si="1"/>
        <v>0</v>
      </c>
    </row>
    <row r="74" spans="1:5" ht="30">
      <c r="A74" s="165" t="s">
        <v>228</v>
      </c>
      <c r="B74" s="144" t="s">
        <v>38</v>
      </c>
      <c r="C74" s="154"/>
      <c r="D74" s="88"/>
      <c r="E74" s="197">
        <f t="shared" si="1"/>
        <v>0</v>
      </c>
    </row>
    <row r="75" spans="1:5" ht="15">
      <c r="A75" s="165" t="s">
        <v>411</v>
      </c>
      <c r="B75" s="144" t="s">
        <v>38</v>
      </c>
      <c r="C75" s="154"/>
      <c r="D75" s="88"/>
      <c r="E75" s="197">
        <f t="shared" si="1"/>
        <v>0</v>
      </c>
    </row>
    <row r="76" spans="1:5" ht="15">
      <c r="A76" s="165" t="s">
        <v>444</v>
      </c>
      <c r="B76" s="144" t="s">
        <v>38</v>
      </c>
      <c r="C76" s="153"/>
      <c r="D76" s="88"/>
      <c r="E76" s="197">
        <f t="shared" si="1"/>
        <v>0</v>
      </c>
    </row>
    <row r="77" spans="1:5" ht="15">
      <c r="A77" s="165" t="s">
        <v>445</v>
      </c>
      <c r="B77" s="144" t="s">
        <v>38</v>
      </c>
      <c r="C77" s="154"/>
      <c r="D77" s="88"/>
      <c r="E77" s="197">
        <f t="shared" si="1"/>
        <v>0</v>
      </c>
    </row>
    <row r="78" spans="1:5" ht="15">
      <c r="A78" s="165" t="s">
        <v>446</v>
      </c>
      <c r="B78" s="111" t="s">
        <v>38</v>
      </c>
      <c r="C78" s="154"/>
      <c r="D78" s="88"/>
      <c r="E78" s="197">
        <f t="shared" si="1"/>
        <v>0</v>
      </c>
    </row>
    <row r="79" spans="1:6" ht="15">
      <c r="A79" s="165" t="s">
        <v>233</v>
      </c>
      <c r="B79" s="144" t="s">
        <v>38</v>
      </c>
      <c r="C79" s="154"/>
      <c r="D79" s="88"/>
      <c r="E79" s="197">
        <f t="shared" si="1"/>
        <v>0</v>
      </c>
      <c r="F79" s="142"/>
    </row>
    <row r="80" spans="1:5" ht="15">
      <c r="A80" s="165" t="s">
        <v>447</v>
      </c>
      <c r="B80" s="144" t="s">
        <v>38</v>
      </c>
      <c r="C80" s="154"/>
      <c r="D80" s="88"/>
      <c r="E80" s="197">
        <f t="shared" si="1"/>
        <v>0</v>
      </c>
    </row>
    <row r="81" spans="1:5" ht="15">
      <c r="A81" s="165" t="s">
        <v>235</v>
      </c>
      <c r="B81" s="144" t="s">
        <v>496</v>
      </c>
      <c r="C81" s="154"/>
      <c r="D81" s="88"/>
      <c r="E81" s="197">
        <f t="shared" si="1"/>
        <v>0</v>
      </c>
    </row>
    <row r="82" spans="1:5" ht="15">
      <c r="A82" s="165" t="s">
        <v>235</v>
      </c>
      <c r="B82" s="144" t="s">
        <v>480</v>
      </c>
      <c r="C82" s="154"/>
      <c r="D82" s="88"/>
      <c r="E82" s="197">
        <f t="shared" si="1"/>
        <v>0</v>
      </c>
    </row>
    <row r="83" spans="1:5" ht="30">
      <c r="A83" s="165" t="s">
        <v>236</v>
      </c>
      <c r="B83" s="144" t="s">
        <v>38</v>
      </c>
      <c r="C83" s="154"/>
      <c r="D83" s="88"/>
      <c r="E83" s="197">
        <f t="shared" si="1"/>
        <v>0</v>
      </c>
    </row>
    <row r="84" spans="1:5" ht="15">
      <c r="A84" s="165" t="s">
        <v>237</v>
      </c>
      <c r="B84" s="111" t="s">
        <v>38</v>
      </c>
      <c r="C84" s="154"/>
      <c r="D84" s="88"/>
      <c r="E84" s="197">
        <f t="shared" si="1"/>
        <v>0</v>
      </c>
    </row>
    <row r="85" spans="1:5" ht="25.5">
      <c r="A85" s="165" t="s">
        <v>448</v>
      </c>
      <c r="B85" s="144" t="s">
        <v>497</v>
      </c>
      <c r="C85" s="154">
        <v>3.15</v>
      </c>
      <c r="D85" s="88">
        <v>2</v>
      </c>
      <c r="E85" s="197">
        <f t="shared" si="1"/>
        <v>6.3</v>
      </c>
    </row>
    <row r="86" spans="1:5" ht="15">
      <c r="A86" s="165" t="s">
        <v>449</v>
      </c>
      <c r="B86" s="111" t="s">
        <v>480</v>
      </c>
      <c r="C86" s="154"/>
      <c r="D86" s="88"/>
      <c r="E86" s="197">
        <f t="shared" si="1"/>
        <v>0</v>
      </c>
    </row>
    <row r="87" spans="1:5" ht="15">
      <c r="A87" s="165" t="s">
        <v>450</v>
      </c>
      <c r="B87" s="111" t="s">
        <v>498</v>
      </c>
      <c r="C87" s="154"/>
      <c r="D87" s="88"/>
      <c r="E87" s="197">
        <f t="shared" si="1"/>
        <v>0</v>
      </c>
    </row>
    <row r="88" spans="1:5" ht="15">
      <c r="A88" s="165" t="s">
        <v>16</v>
      </c>
      <c r="B88" s="111" t="s">
        <v>38</v>
      </c>
      <c r="C88" s="154"/>
      <c r="D88" s="88"/>
      <c r="E88" s="197">
        <f t="shared" si="1"/>
        <v>0</v>
      </c>
    </row>
    <row r="89" spans="1:5" ht="15">
      <c r="A89" s="165" t="s">
        <v>238</v>
      </c>
      <c r="B89" s="144" t="s">
        <v>38</v>
      </c>
      <c r="C89" s="154"/>
      <c r="D89" s="88"/>
      <c r="E89" s="197">
        <f t="shared" si="1"/>
        <v>0</v>
      </c>
    </row>
    <row r="90" spans="1:5" ht="15" customHeight="1">
      <c r="A90" s="165" t="s">
        <v>535</v>
      </c>
      <c r="B90" s="144" t="s">
        <v>38</v>
      </c>
      <c r="C90" s="154"/>
      <c r="D90" s="88"/>
      <c r="E90" s="197">
        <f t="shared" si="1"/>
        <v>0</v>
      </c>
    </row>
    <row r="91" spans="1:5" ht="15">
      <c r="A91" s="165" t="s">
        <v>240</v>
      </c>
      <c r="B91" s="144" t="s">
        <v>38</v>
      </c>
      <c r="C91" s="154"/>
      <c r="D91" s="88"/>
      <c r="E91" s="197">
        <f t="shared" si="1"/>
        <v>0</v>
      </c>
    </row>
    <row r="92" spans="1:5" ht="15">
      <c r="A92" s="165" t="s">
        <v>241</v>
      </c>
      <c r="B92" s="111" t="s">
        <v>38</v>
      </c>
      <c r="C92" s="154"/>
      <c r="D92" s="88"/>
      <c r="E92" s="197">
        <f t="shared" si="1"/>
        <v>0</v>
      </c>
    </row>
    <row r="93" spans="1:5" ht="30">
      <c r="A93" s="165" t="s">
        <v>451</v>
      </c>
      <c r="B93" s="144" t="s">
        <v>480</v>
      </c>
      <c r="C93" s="154"/>
      <c r="D93" s="88"/>
      <c r="E93" s="197">
        <f t="shared" si="1"/>
        <v>0</v>
      </c>
    </row>
    <row r="94" spans="1:5" ht="25.5">
      <c r="A94" s="165" t="s">
        <v>452</v>
      </c>
      <c r="B94" s="181" t="s">
        <v>499</v>
      </c>
      <c r="C94" s="182"/>
      <c r="D94" s="88"/>
      <c r="E94" s="197">
        <f t="shared" si="1"/>
        <v>0</v>
      </c>
    </row>
    <row r="95" spans="1:5" ht="24">
      <c r="A95" s="165" t="s">
        <v>453</v>
      </c>
      <c r="B95" s="3" t="s">
        <v>500</v>
      </c>
      <c r="C95" s="154"/>
      <c r="D95" s="88"/>
      <c r="E95" s="197">
        <f t="shared" si="1"/>
        <v>0</v>
      </c>
    </row>
    <row r="96" spans="1:5" ht="15">
      <c r="A96" s="165" t="s">
        <v>454</v>
      </c>
      <c r="B96" s="146" t="s">
        <v>501</v>
      </c>
      <c r="C96" s="154"/>
      <c r="D96" s="88"/>
      <c r="E96" s="197">
        <f t="shared" si="1"/>
        <v>0</v>
      </c>
    </row>
    <row r="97" spans="1:5" ht="15">
      <c r="A97" s="165" t="s">
        <v>242</v>
      </c>
      <c r="B97" s="146" t="s">
        <v>38</v>
      </c>
      <c r="C97" s="154"/>
      <c r="D97" s="88"/>
      <c r="E97" s="197">
        <f t="shared" si="1"/>
        <v>0</v>
      </c>
    </row>
    <row r="98" spans="1:5" ht="15">
      <c r="A98" s="165" t="s">
        <v>455</v>
      </c>
      <c r="B98" s="35" t="s">
        <v>38</v>
      </c>
      <c r="C98" s="35"/>
      <c r="D98" s="88"/>
      <c r="E98" s="197">
        <f t="shared" si="1"/>
        <v>0</v>
      </c>
    </row>
    <row r="99" spans="1:5" ht="15">
      <c r="A99" s="161" t="s">
        <v>243</v>
      </c>
      <c r="B99" s="35"/>
      <c r="C99" s="35"/>
      <c r="D99" s="88"/>
      <c r="E99" s="197">
        <f t="shared" si="1"/>
        <v>0</v>
      </c>
    </row>
    <row r="100" spans="1:5" ht="15">
      <c r="A100" s="165" t="s">
        <v>456</v>
      </c>
      <c r="B100" s="35" t="s">
        <v>502</v>
      </c>
      <c r="C100" s="35"/>
      <c r="D100" s="88"/>
      <c r="E100" s="197">
        <f t="shared" si="1"/>
        <v>0</v>
      </c>
    </row>
    <row r="101" spans="1:5" ht="15">
      <c r="A101" s="165" t="s">
        <v>457</v>
      </c>
      <c r="B101" s="35" t="s">
        <v>502</v>
      </c>
      <c r="C101" s="35"/>
      <c r="D101" s="88"/>
      <c r="E101" s="197">
        <f t="shared" si="1"/>
        <v>0</v>
      </c>
    </row>
    <row r="102" spans="1:5" ht="30">
      <c r="A102" s="165" t="s">
        <v>458</v>
      </c>
      <c r="B102" s="35" t="s">
        <v>503</v>
      </c>
      <c r="C102" s="35">
        <v>0.999</v>
      </c>
      <c r="D102" s="88">
        <v>3</v>
      </c>
      <c r="E102" s="197">
        <f t="shared" si="1"/>
        <v>3</v>
      </c>
    </row>
    <row r="104" spans="1:5" ht="15">
      <c r="A104" s="63" t="s">
        <v>572</v>
      </c>
      <c r="B104" s="35"/>
      <c r="C104" s="35"/>
      <c r="D104" s="35"/>
      <c r="E104" s="177">
        <f>SUM(E7:E103)-E45</f>
        <v>314.85999999999996</v>
      </c>
    </row>
    <row r="105" spans="1:5" ht="15">
      <c r="A105" s="178" t="s">
        <v>505</v>
      </c>
      <c r="B105" s="35"/>
      <c r="C105" s="35"/>
      <c r="D105" s="35"/>
      <c r="E105" s="179">
        <f>E104*22%</f>
        <v>69.2692</v>
      </c>
    </row>
    <row r="106" spans="1:5" ht="15">
      <c r="A106" s="63" t="s">
        <v>573</v>
      </c>
      <c r="B106" s="35"/>
      <c r="C106" s="35"/>
      <c r="D106" s="35"/>
      <c r="E106" s="179">
        <f>E45</f>
        <v>24</v>
      </c>
    </row>
    <row r="107" spans="1:5" ht="15">
      <c r="A107" s="178" t="s">
        <v>574</v>
      </c>
      <c r="B107" s="35"/>
      <c r="C107" s="35"/>
      <c r="D107" s="35"/>
      <c r="E107" s="179">
        <f>E106*5%</f>
        <v>1.2000000000000002</v>
      </c>
    </row>
    <row r="108" spans="1:5" ht="15">
      <c r="A108" s="180" t="s">
        <v>504</v>
      </c>
      <c r="B108" s="35"/>
      <c r="C108" s="35"/>
      <c r="D108" s="35"/>
      <c r="E108" s="179">
        <f>SUM(E104:E107)</f>
        <v>409.32919999999996</v>
      </c>
    </row>
  </sheetData>
  <sheetProtection/>
  <mergeCells count="4">
    <mergeCell ref="A2:F2"/>
    <mergeCell ref="A3:F3"/>
    <mergeCell ref="A4:A5"/>
    <mergeCell ref="B4:E4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8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9"/>
  <sheetViews>
    <sheetView zoomScalePageLayoutView="0" workbookViewId="0" topLeftCell="A79">
      <selection activeCell="D37" sqref="D37"/>
    </sheetView>
  </sheetViews>
  <sheetFormatPr defaultColWidth="9.140625" defaultRowHeight="12.75"/>
  <cols>
    <col min="1" max="1" width="47.00390625" style="0" customWidth="1"/>
    <col min="2" max="2" width="20.57421875" style="0" bestFit="1" customWidth="1"/>
    <col min="3" max="3" width="7.7109375" style="0" customWidth="1"/>
    <col min="4" max="4" width="8.00390625" style="0" customWidth="1"/>
    <col min="5" max="5" width="10.8515625" style="0" customWidth="1"/>
    <col min="6" max="6" width="2.00390625" style="0" customWidth="1"/>
    <col min="7" max="7" width="1.28515625" style="0" customWidth="1"/>
    <col min="8" max="13" width="9.140625" style="0" hidden="1" customWidth="1"/>
    <col min="14" max="14" width="3.8515625" style="0" customWidth="1"/>
    <col min="15" max="20" width="9.140625" style="0" hidden="1" customWidth="1"/>
  </cols>
  <sheetData>
    <row r="2" spans="1:6" ht="12.75">
      <c r="A2" s="202" t="s">
        <v>414</v>
      </c>
      <c r="B2" s="202"/>
      <c r="C2" s="202"/>
      <c r="D2" s="202"/>
      <c r="E2" s="202"/>
      <c r="F2" s="202"/>
    </row>
    <row r="3" spans="1:6" ht="13.5" thickBot="1">
      <c r="A3" s="203" t="s">
        <v>418</v>
      </c>
      <c r="B3" s="203"/>
      <c r="C3" s="201"/>
      <c r="D3" s="201"/>
      <c r="E3" s="201"/>
      <c r="F3" s="201"/>
    </row>
    <row r="4" spans="1:6" ht="12.75">
      <c r="A4" s="204" t="s">
        <v>0</v>
      </c>
      <c r="B4" s="206" t="s">
        <v>420</v>
      </c>
      <c r="C4" s="207"/>
      <c r="D4" s="207"/>
      <c r="E4" s="208"/>
      <c r="F4" s="10"/>
    </row>
    <row r="5" spans="1:6" ht="51">
      <c r="A5" s="205"/>
      <c r="B5" s="67" t="s">
        <v>2</v>
      </c>
      <c r="C5" s="148" t="s">
        <v>413</v>
      </c>
      <c r="D5" s="147" t="s">
        <v>412</v>
      </c>
      <c r="E5" s="69" t="s">
        <v>416</v>
      </c>
      <c r="F5" s="11"/>
    </row>
    <row r="6" spans="1:6" ht="45">
      <c r="A6" s="158" t="s">
        <v>400</v>
      </c>
      <c r="B6" s="151"/>
      <c r="C6" s="151"/>
      <c r="D6" s="151"/>
      <c r="E6" s="151"/>
      <c r="F6" s="9"/>
    </row>
    <row r="7" spans="1:6" ht="60">
      <c r="A7" s="165" t="s">
        <v>178</v>
      </c>
      <c r="B7" s="144" t="s">
        <v>459</v>
      </c>
      <c r="C7" s="154">
        <v>1.72</v>
      </c>
      <c r="D7" s="88">
        <v>30</v>
      </c>
      <c r="E7" s="197">
        <f>ROUND(C7*D7,2)</f>
        <v>51.6</v>
      </c>
      <c r="F7" s="9"/>
    </row>
    <row r="8" spans="1:6" ht="75">
      <c r="A8" s="174" t="s">
        <v>422</v>
      </c>
      <c r="B8" s="144" t="s">
        <v>460</v>
      </c>
      <c r="C8" s="154">
        <v>7.2</v>
      </c>
      <c r="D8" s="88">
        <v>4</v>
      </c>
      <c r="E8" s="197">
        <f aca="true" t="shared" si="0" ref="E8:E71">ROUND(C8*D8,2)</f>
        <v>28.8</v>
      </c>
      <c r="F8" s="9"/>
    </row>
    <row r="9" spans="1:6" ht="30">
      <c r="A9" s="165" t="s">
        <v>521</v>
      </c>
      <c r="B9" s="144">
        <v>3000</v>
      </c>
      <c r="C9" s="154">
        <v>16.5</v>
      </c>
      <c r="D9" s="163">
        <v>3</v>
      </c>
      <c r="E9" s="197">
        <f t="shared" si="0"/>
        <v>49.5</v>
      </c>
      <c r="F9" s="9"/>
    </row>
    <row r="10" spans="1:6" ht="15">
      <c r="A10" s="165" t="s">
        <v>423</v>
      </c>
      <c r="B10" s="104" t="s">
        <v>38</v>
      </c>
      <c r="C10" s="154"/>
      <c r="D10" s="88"/>
      <c r="E10" s="197">
        <f t="shared" si="0"/>
        <v>0</v>
      </c>
      <c r="F10" s="9"/>
    </row>
    <row r="11" spans="1:6" ht="30">
      <c r="A11" s="165" t="s">
        <v>183</v>
      </c>
      <c r="B11" s="104" t="s">
        <v>38</v>
      </c>
      <c r="C11" s="154"/>
      <c r="D11" s="88"/>
      <c r="E11" s="197">
        <f t="shared" si="0"/>
        <v>0</v>
      </c>
      <c r="F11" s="9"/>
    </row>
    <row r="12" spans="1:6" ht="15">
      <c r="A12" s="165" t="s">
        <v>184</v>
      </c>
      <c r="B12" s="104" t="s">
        <v>38</v>
      </c>
      <c r="C12" s="154"/>
      <c r="D12" s="88"/>
      <c r="E12" s="197">
        <f t="shared" si="0"/>
        <v>0</v>
      </c>
      <c r="F12" s="9"/>
    </row>
    <row r="13" spans="1:6" ht="30">
      <c r="A13" s="165" t="s">
        <v>424</v>
      </c>
      <c r="B13" s="104" t="s">
        <v>461</v>
      </c>
      <c r="C13" s="154"/>
      <c r="D13" s="88"/>
      <c r="E13" s="197">
        <f t="shared" si="0"/>
        <v>0</v>
      </c>
      <c r="F13" s="9"/>
    </row>
    <row r="14" spans="1:6" ht="15">
      <c r="A14" s="165" t="s">
        <v>185</v>
      </c>
      <c r="B14" s="104" t="s">
        <v>462</v>
      </c>
      <c r="C14" s="154"/>
      <c r="D14" s="88"/>
      <c r="E14" s="197">
        <f t="shared" si="0"/>
        <v>0</v>
      </c>
      <c r="F14" s="9"/>
    </row>
    <row r="15" spans="1:6" ht="18.75" customHeight="1">
      <c r="A15" s="165" t="s">
        <v>425</v>
      </c>
      <c r="B15" s="104" t="s">
        <v>463</v>
      </c>
      <c r="C15" s="154"/>
      <c r="D15" s="88"/>
      <c r="E15" s="197">
        <f t="shared" si="0"/>
        <v>0</v>
      </c>
      <c r="F15" s="9"/>
    </row>
    <row r="16" spans="1:6" ht="60">
      <c r="A16" s="165" t="s">
        <v>426</v>
      </c>
      <c r="B16" s="104" t="s">
        <v>463</v>
      </c>
      <c r="C16" s="154"/>
      <c r="D16" s="88"/>
      <c r="E16" s="197">
        <f t="shared" si="0"/>
        <v>0</v>
      </c>
      <c r="F16" s="9"/>
    </row>
    <row r="17" spans="1:6" ht="15">
      <c r="A17" s="165" t="s">
        <v>186</v>
      </c>
      <c r="B17" s="104" t="s">
        <v>38</v>
      </c>
      <c r="C17" s="154"/>
      <c r="D17" s="88"/>
      <c r="E17" s="197">
        <f t="shared" si="0"/>
        <v>0</v>
      </c>
      <c r="F17" s="9"/>
    </row>
    <row r="18" spans="1:6" ht="15.75">
      <c r="A18" s="165" t="s">
        <v>187</v>
      </c>
      <c r="B18" s="151" t="s">
        <v>38</v>
      </c>
      <c r="C18" s="151"/>
      <c r="D18" s="88"/>
      <c r="E18" s="197">
        <f t="shared" si="0"/>
        <v>0</v>
      </c>
      <c r="F18" s="9"/>
    </row>
    <row r="19" spans="1:6" ht="30">
      <c r="A19" s="161" t="s">
        <v>188</v>
      </c>
      <c r="B19" s="144"/>
      <c r="C19" s="154"/>
      <c r="D19" s="88"/>
      <c r="E19" s="197">
        <f t="shared" si="0"/>
        <v>0</v>
      </c>
      <c r="F19" s="9"/>
    </row>
    <row r="20" spans="1:6" ht="60">
      <c r="A20" s="165" t="s">
        <v>253</v>
      </c>
      <c r="B20" s="144" t="s">
        <v>464</v>
      </c>
      <c r="C20" s="154">
        <v>2.5</v>
      </c>
      <c r="D20" s="88">
        <v>24</v>
      </c>
      <c r="E20" s="197">
        <f t="shared" si="0"/>
        <v>60</v>
      </c>
      <c r="F20" s="9"/>
    </row>
    <row r="21" spans="1:6" ht="45">
      <c r="A21" s="165" t="s">
        <v>254</v>
      </c>
      <c r="B21" s="144" t="s">
        <v>465</v>
      </c>
      <c r="C21" s="154"/>
      <c r="D21" s="88"/>
      <c r="E21" s="197">
        <f t="shared" si="0"/>
        <v>0</v>
      </c>
      <c r="F21" s="9"/>
    </row>
    <row r="22" spans="1:6" ht="45">
      <c r="A22" s="165" t="s">
        <v>189</v>
      </c>
      <c r="B22" s="144" t="s">
        <v>466</v>
      </c>
      <c r="C22" s="154"/>
      <c r="D22" s="88"/>
      <c r="E22" s="197">
        <f t="shared" si="0"/>
        <v>0</v>
      </c>
      <c r="F22" s="9"/>
    </row>
    <row r="23" spans="1:6" ht="45">
      <c r="A23" s="165" t="s">
        <v>58</v>
      </c>
      <c r="B23" s="144" t="s">
        <v>467</v>
      </c>
      <c r="C23" s="154"/>
      <c r="D23" s="88"/>
      <c r="E23" s="197">
        <f t="shared" si="0"/>
        <v>0</v>
      </c>
      <c r="F23" s="9"/>
    </row>
    <row r="24" spans="1:6" ht="30">
      <c r="A24" s="165" t="s">
        <v>190</v>
      </c>
      <c r="B24" s="144" t="s">
        <v>467</v>
      </c>
      <c r="C24" s="154">
        <v>1.87</v>
      </c>
      <c r="D24" s="88">
        <v>20</v>
      </c>
      <c r="E24" s="197">
        <f t="shared" si="0"/>
        <v>37.4</v>
      </c>
      <c r="F24" s="9"/>
    </row>
    <row r="25" spans="1:6" ht="30">
      <c r="A25" s="165" t="s">
        <v>427</v>
      </c>
      <c r="B25" s="144" t="s">
        <v>467</v>
      </c>
      <c r="C25" s="154"/>
      <c r="D25" s="88"/>
      <c r="E25" s="197">
        <f t="shared" si="0"/>
        <v>0</v>
      </c>
      <c r="F25" s="9"/>
    </row>
    <row r="26" spans="1:6" ht="30">
      <c r="A26" s="165" t="s">
        <v>191</v>
      </c>
      <c r="B26" s="144" t="s">
        <v>467</v>
      </c>
      <c r="C26" s="154">
        <v>0.36</v>
      </c>
      <c r="D26" s="88">
        <v>32</v>
      </c>
      <c r="E26" s="197">
        <f t="shared" si="0"/>
        <v>11.52</v>
      </c>
      <c r="F26" s="9"/>
    </row>
    <row r="27" spans="1:6" ht="30">
      <c r="A27" s="165" t="s">
        <v>192</v>
      </c>
      <c r="B27" s="144" t="s">
        <v>468</v>
      </c>
      <c r="C27" s="154"/>
      <c r="D27" s="88"/>
      <c r="E27" s="197">
        <f t="shared" si="0"/>
        <v>0</v>
      </c>
      <c r="F27" s="9"/>
    </row>
    <row r="28" spans="1:6" ht="30">
      <c r="A28" s="165" t="s">
        <v>407</v>
      </c>
      <c r="B28" s="145" t="s">
        <v>469</v>
      </c>
      <c r="C28" s="154"/>
      <c r="D28" s="88"/>
      <c r="E28" s="197">
        <f t="shared" si="0"/>
        <v>0</v>
      </c>
      <c r="F28" s="9"/>
    </row>
    <row r="29" spans="1:6" ht="30">
      <c r="A29" s="165" t="s">
        <v>193</v>
      </c>
      <c r="B29" s="145" t="s">
        <v>469</v>
      </c>
      <c r="C29" s="154"/>
      <c r="D29" s="88"/>
      <c r="E29" s="197">
        <f t="shared" si="0"/>
        <v>0</v>
      </c>
      <c r="F29" s="9"/>
    </row>
    <row r="30" spans="1:6" ht="30">
      <c r="A30" s="165" t="s">
        <v>428</v>
      </c>
      <c r="B30" s="151" t="s">
        <v>470</v>
      </c>
      <c r="C30" s="151"/>
      <c r="D30" s="88"/>
      <c r="E30" s="197">
        <f t="shared" si="0"/>
        <v>0</v>
      </c>
      <c r="F30" s="9"/>
    </row>
    <row r="31" spans="1:6" ht="30">
      <c r="A31" s="161" t="s">
        <v>406</v>
      </c>
      <c r="B31" s="145"/>
      <c r="C31" s="154"/>
      <c r="D31" s="88"/>
      <c r="E31" s="197">
        <f t="shared" si="0"/>
        <v>0</v>
      </c>
      <c r="F31" s="9"/>
    </row>
    <row r="32" spans="1:6" ht="45">
      <c r="A32" s="165" t="s">
        <v>429</v>
      </c>
      <c r="B32" s="144" t="s">
        <v>471</v>
      </c>
      <c r="C32" s="154"/>
      <c r="D32" s="88"/>
      <c r="E32" s="197">
        <f t="shared" si="0"/>
        <v>0</v>
      </c>
      <c r="F32" s="9"/>
    </row>
    <row r="33" spans="1:6" ht="45">
      <c r="A33" s="165" t="s">
        <v>408</v>
      </c>
      <c r="B33" s="144" t="s">
        <v>471</v>
      </c>
      <c r="C33" s="154"/>
      <c r="D33" s="88"/>
      <c r="E33" s="197">
        <f t="shared" si="0"/>
        <v>0</v>
      </c>
      <c r="F33" s="29"/>
    </row>
    <row r="34" spans="1:6" ht="60">
      <c r="A34" s="165" t="s">
        <v>197</v>
      </c>
      <c r="B34" s="144" t="s">
        <v>472</v>
      </c>
      <c r="C34" s="154">
        <v>1.4</v>
      </c>
      <c r="D34" s="88">
        <v>12</v>
      </c>
      <c r="E34" s="197">
        <f t="shared" si="0"/>
        <v>16.8</v>
      </c>
      <c r="F34" s="29"/>
    </row>
    <row r="35" spans="1:6" ht="45">
      <c r="A35" s="165" t="s">
        <v>198</v>
      </c>
      <c r="B35" s="144" t="s">
        <v>473</v>
      </c>
      <c r="C35" s="154"/>
      <c r="D35" s="88"/>
      <c r="E35" s="197">
        <f t="shared" si="0"/>
        <v>0</v>
      </c>
      <c r="F35" s="28"/>
    </row>
    <row r="36" spans="1:6" ht="40.5" customHeight="1">
      <c r="A36" s="165" t="s">
        <v>200</v>
      </c>
      <c r="B36" s="144" t="s">
        <v>474</v>
      </c>
      <c r="C36" s="154"/>
      <c r="D36" s="88"/>
      <c r="E36" s="197">
        <f t="shared" si="0"/>
        <v>0</v>
      </c>
      <c r="F36" s="28"/>
    </row>
    <row r="37" spans="1:6" ht="15">
      <c r="A37" s="165" t="s">
        <v>409</v>
      </c>
      <c r="B37" s="144" t="s">
        <v>475</v>
      </c>
      <c r="C37" s="154"/>
      <c r="D37" s="88"/>
      <c r="E37" s="197">
        <f t="shared" si="0"/>
        <v>0</v>
      </c>
      <c r="F37" s="28"/>
    </row>
    <row r="38" spans="1:6" ht="28.5">
      <c r="A38" s="162" t="s">
        <v>405</v>
      </c>
      <c r="B38" s="166"/>
      <c r="C38" s="169"/>
      <c r="D38" s="88"/>
      <c r="E38" s="197">
        <f t="shared" si="0"/>
        <v>0</v>
      </c>
      <c r="F38" s="28"/>
    </row>
    <row r="39" spans="1:6" ht="30">
      <c r="A39" s="165" t="s">
        <v>204</v>
      </c>
      <c r="B39" s="144" t="s">
        <v>476</v>
      </c>
      <c r="C39" s="154"/>
      <c r="D39" s="88"/>
      <c r="E39" s="197">
        <f t="shared" si="0"/>
        <v>0</v>
      </c>
      <c r="F39" s="28"/>
    </row>
    <row r="40" spans="1:6" ht="30">
      <c r="A40" s="165" t="s">
        <v>258</v>
      </c>
      <c r="B40" s="144" t="s">
        <v>477</v>
      </c>
      <c r="C40" s="154"/>
      <c r="D40" s="88"/>
      <c r="E40" s="197">
        <f t="shared" si="0"/>
        <v>0</v>
      </c>
      <c r="F40" s="28"/>
    </row>
    <row r="41" spans="1:6" ht="30">
      <c r="A41" s="165" t="s">
        <v>430</v>
      </c>
      <c r="B41" s="144" t="s">
        <v>478</v>
      </c>
      <c r="C41" s="154"/>
      <c r="D41" s="88"/>
      <c r="E41" s="197">
        <f t="shared" si="0"/>
        <v>0</v>
      </c>
      <c r="F41" s="28"/>
    </row>
    <row r="42" spans="1:6" ht="15">
      <c r="A42" s="165" t="s">
        <v>410</v>
      </c>
      <c r="B42" s="144" t="s">
        <v>152</v>
      </c>
      <c r="C42" s="154"/>
      <c r="D42" s="88"/>
      <c r="E42" s="197">
        <f t="shared" si="0"/>
        <v>0</v>
      </c>
      <c r="F42" s="28"/>
    </row>
    <row r="43" spans="1:6" ht="15.75">
      <c r="A43" s="161" t="s">
        <v>206</v>
      </c>
      <c r="B43" s="151"/>
      <c r="C43" s="170"/>
      <c r="D43" s="88"/>
      <c r="E43" s="197">
        <f t="shared" si="0"/>
        <v>0</v>
      </c>
      <c r="F43" s="28"/>
    </row>
    <row r="44" spans="1:6" ht="30">
      <c r="A44" s="165" t="s">
        <v>61</v>
      </c>
      <c r="B44" s="155" t="s">
        <v>33</v>
      </c>
      <c r="C44" s="154"/>
      <c r="D44" s="163"/>
      <c r="E44" s="197">
        <f t="shared" si="0"/>
        <v>0</v>
      </c>
      <c r="F44" s="150"/>
    </row>
    <row r="45" spans="1:6" ht="30">
      <c r="A45" s="165" t="s">
        <v>507</v>
      </c>
      <c r="B45" s="146" t="s">
        <v>479</v>
      </c>
      <c r="C45" s="154"/>
      <c r="D45" s="88"/>
      <c r="E45" s="197">
        <f t="shared" si="0"/>
        <v>0</v>
      </c>
      <c r="F45" s="150"/>
    </row>
    <row r="46" spans="1:6" ht="30">
      <c r="A46" s="165" t="s">
        <v>431</v>
      </c>
      <c r="B46" s="146" t="s">
        <v>480</v>
      </c>
      <c r="C46" s="154"/>
      <c r="D46" s="88"/>
      <c r="E46" s="197">
        <f t="shared" si="0"/>
        <v>0</v>
      </c>
      <c r="F46" s="28"/>
    </row>
    <row r="47" spans="1:6" ht="15">
      <c r="A47" s="165" t="s">
        <v>208</v>
      </c>
      <c r="B47" s="144" t="s">
        <v>481</v>
      </c>
      <c r="C47" s="154"/>
      <c r="D47" s="88"/>
      <c r="E47" s="197">
        <f t="shared" si="0"/>
        <v>0</v>
      </c>
      <c r="F47" s="28"/>
    </row>
    <row r="48" spans="1:6" ht="30">
      <c r="A48" s="165" t="s">
        <v>432</v>
      </c>
      <c r="B48" s="146" t="s">
        <v>482</v>
      </c>
      <c r="C48" s="154"/>
      <c r="D48" s="88"/>
      <c r="E48" s="197">
        <f t="shared" si="0"/>
        <v>0</v>
      </c>
      <c r="F48" s="28"/>
    </row>
    <row r="49" spans="1:6" ht="45">
      <c r="A49" s="165" t="s">
        <v>433</v>
      </c>
      <c r="B49" s="144" t="s">
        <v>483</v>
      </c>
      <c r="C49" s="154"/>
      <c r="D49" s="88"/>
      <c r="E49" s="197">
        <f t="shared" si="0"/>
        <v>0</v>
      </c>
      <c r="F49" s="28"/>
    </row>
    <row r="50" spans="1:5" ht="15">
      <c r="A50" s="165" t="s">
        <v>434</v>
      </c>
      <c r="B50" s="144" t="s">
        <v>484</v>
      </c>
      <c r="C50" s="154"/>
      <c r="D50" s="88"/>
      <c r="E50" s="197">
        <f t="shared" si="0"/>
        <v>0</v>
      </c>
    </row>
    <row r="51" spans="1:5" ht="15">
      <c r="A51" s="165" t="s">
        <v>212</v>
      </c>
      <c r="B51" s="146" t="s">
        <v>485</v>
      </c>
      <c r="C51" s="154"/>
      <c r="D51" s="88"/>
      <c r="E51" s="197">
        <f t="shared" si="0"/>
        <v>0</v>
      </c>
    </row>
    <row r="52" spans="1:5" ht="15">
      <c r="A52" s="165" t="s">
        <v>435</v>
      </c>
      <c r="B52" s="111" t="s">
        <v>486</v>
      </c>
      <c r="C52" s="154"/>
      <c r="D52" s="88"/>
      <c r="E52" s="197">
        <f t="shared" si="0"/>
        <v>0</v>
      </c>
    </row>
    <row r="53" spans="1:5" ht="25.5">
      <c r="A53" s="165" t="s">
        <v>436</v>
      </c>
      <c r="B53" s="144" t="s">
        <v>487</v>
      </c>
      <c r="C53" s="154"/>
      <c r="D53" s="88"/>
      <c r="E53" s="197">
        <f t="shared" si="0"/>
        <v>0</v>
      </c>
    </row>
    <row r="54" spans="1:5" ht="25.5">
      <c r="A54" s="165" t="s">
        <v>437</v>
      </c>
      <c r="B54" s="144" t="s">
        <v>488</v>
      </c>
      <c r="C54" s="154"/>
      <c r="D54" s="88"/>
      <c r="E54" s="197">
        <f t="shared" si="0"/>
        <v>0</v>
      </c>
    </row>
    <row r="55" spans="1:5" ht="30">
      <c r="A55" s="165" t="s">
        <v>438</v>
      </c>
      <c r="B55" s="144" t="s">
        <v>489</v>
      </c>
      <c r="C55" s="154"/>
      <c r="D55" s="88"/>
      <c r="E55" s="197">
        <f t="shared" si="0"/>
        <v>0</v>
      </c>
    </row>
    <row r="56" spans="1:5" ht="30">
      <c r="A56" s="165" t="s">
        <v>439</v>
      </c>
      <c r="B56" s="144" t="s">
        <v>490</v>
      </c>
      <c r="C56" s="154"/>
      <c r="D56" s="88"/>
      <c r="E56" s="197">
        <f t="shared" si="0"/>
        <v>0</v>
      </c>
    </row>
    <row r="57" spans="1:5" ht="15">
      <c r="A57" s="165" t="s">
        <v>440</v>
      </c>
      <c r="B57" s="144" t="s">
        <v>491</v>
      </c>
      <c r="C57" s="154"/>
      <c r="D57" s="88"/>
      <c r="E57" s="197">
        <f t="shared" si="0"/>
        <v>0</v>
      </c>
    </row>
    <row r="58" spans="1:5" ht="15">
      <c r="A58" s="165" t="s">
        <v>63</v>
      </c>
      <c r="B58" s="144" t="s">
        <v>38</v>
      </c>
      <c r="C58" s="154"/>
      <c r="D58" s="88"/>
      <c r="E58" s="197">
        <f t="shared" si="0"/>
        <v>0</v>
      </c>
    </row>
    <row r="59" spans="1:5" ht="15">
      <c r="A59" s="165" t="s">
        <v>64</v>
      </c>
      <c r="B59" s="144" t="s">
        <v>38</v>
      </c>
      <c r="C59" s="154"/>
      <c r="D59" s="88"/>
      <c r="E59" s="197">
        <f t="shared" si="0"/>
        <v>0</v>
      </c>
    </row>
    <row r="60" spans="1:5" ht="15">
      <c r="A60" s="165" t="s">
        <v>65</v>
      </c>
      <c r="B60" s="144" t="s">
        <v>38</v>
      </c>
      <c r="C60" s="154"/>
      <c r="D60" s="88"/>
      <c r="E60" s="197">
        <f t="shared" si="0"/>
        <v>0</v>
      </c>
    </row>
    <row r="61" spans="1:5" ht="15">
      <c r="A61" s="165" t="s">
        <v>66</v>
      </c>
      <c r="B61" s="144" t="s">
        <v>38</v>
      </c>
      <c r="C61" s="154"/>
      <c r="D61" s="88"/>
      <c r="E61" s="197">
        <f t="shared" si="0"/>
        <v>0</v>
      </c>
    </row>
    <row r="62" spans="1:5" ht="30">
      <c r="A62" s="165" t="s">
        <v>217</v>
      </c>
      <c r="B62" s="144" t="s">
        <v>492</v>
      </c>
      <c r="C62" s="154"/>
      <c r="D62" s="88"/>
      <c r="E62" s="197">
        <f t="shared" si="0"/>
        <v>0</v>
      </c>
    </row>
    <row r="63" spans="1:5" ht="15">
      <c r="A63" s="165" t="s">
        <v>441</v>
      </c>
      <c r="B63" s="144" t="s">
        <v>493</v>
      </c>
      <c r="C63" s="154"/>
      <c r="D63" s="88"/>
      <c r="E63" s="197">
        <f t="shared" si="0"/>
        <v>0</v>
      </c>
    </row>
    <row r="64" spans="1:5" ht="33.75" customHeight="1">
      <c r="A64" s="165" t="s">
        <v>442</v>
      </c>
      <c r="B64" s="144" t="s">
        <v>494</v>
      </c>
      <c r="C64" s="154"/>
      <c r="D64" s="88"/>
      <c r="E64" s="197">
        <f t="shared" si="0"/>
        <v>0</v>
      </c>
    </row>
    <row r="65" spans="1:5" ht="33.75" customHeight="1">
      <c r="A65" s="165" t="s">
        <v>219</v>
      </c>
      <c r="B65" s="144" t="s">
        <v>38</v>
      </c>
      <c r="C65" s="154"/>
      <c r="D65" s="88"/>
      <c r="E65" s="197">
        <f t="shared" si="0"/>
        <v>0</v>
      </c>
    </row>
    <row r="66" spans="1:5" ht="30">
      <c r="A66" s="165" t="s">
        <v>401</v>
      </c>
      <c r="B66" s="111" t="s">
        <v>495</v>
      </c>
      <c r="C66" s="154"/>
      <c r="D66" s="88"/>
      <c r="E66" s="197">
        <f t="shared" si="0"/>
        <v>0</v>
      </c>
    </row>
    <row r="67" spans="1:5" ht="30">
      <c r="A67" s="165" t="s">
        <v>402</v>
      </c>
      <c r="B67" s="111" t="s">
        <v>38</v>
      </c>
      <c r="C67" s="154"/>
      <c r="D67" s="88"/>
      <c r="E67" s="197">
        <f t="shared" si="0"/>
        <v>0</v>
      </c>
    </row>
    <row r="68" spans="1:5" ht="30">
      <c r="A68" s="165" t="s">
        <v>403</v>
      </c>
      <c r="B68" s="111" t="s">
        <v>38</v>
      </c>
      <c r="C68" s="154">
        <v>4.44</v>
      </c>
      <c r="D68" s="88">
        <v>4</v>
      </c>
      <c r="E68" s="197">
        <f t="shared" si="0"/>
        <v>17.76</v>
      </c>
    </row>
    <row r="69" spans="1:5" ht="30">
      <c r="A69" s="165" t="s">
        <v>404</v>
      </c>
      <c r="B69" s="144" t="s">
        <v>38</v>
      </c>
      <c r="C69" s="154"/>
      <c r="D69" s="88"/>
      <c r="E69" s="197">
        <f t="shared" si="0"/>
        <v>0</v>
      </c>
    </row>
    <row r="70" spans="1:5" ht="15">
      <c r="A70" s="165" t="s">
        <v>224</v>
      </c>
      <c r="B70" s="111" t="s">
        <v>38</v>
      </c>
      <c r="C70" s="154"/>
      <c r="D70" s="88"/>
      <c r="E70" s="197">
        <f t="shared" si="0"/>
        <v>0</v>
      </c>
    </row>
    <row r="71" spans="1:5" ht="30">
      <c r="A71" s="165" t="s">
        <v>443</v>
      </c>
      <c r="B71" s="144" t="s">
        <v>38</v>
      </c>
      <c r="C71" s="154"/>
      <c r="D71" s="88"/>
      <c r="E71" s="197">
        <f t="shared" si="0"/>
        <v>0</v>
      </c>
    </row>
    <row r="72" spans="1:5" ht="15">
      <c r="A72" s="165" t="s">
        <v>226</v>
      </c>
      <c r="B72" s="144" t="s">
        <v>38</v>
      </c>
      <c r="C72" s="154"/>
      <c r="D72" s="88"/>
      <c r="E72" s="197">
        <f aca="true" t="shared" si="1" ref="E72:E103">ROUND(C72*D72,2)</f>
        <v>0</v>
      </c>
    </row>
    <row r="73" spans="1:5" ht="30">
      <c r="A73" s="165" t="s">
        <v>227</v>
      </c>
      <c r="B73" s="111" t="s">
        <v>38</v>
      </c>
      <c r="C73" s="154"/>
      <c r="D73" s="88"/>
      <c r="E73" s="197">
        <f t="shared" si="1"/>
        <v>0</v>
      </c>
    </row>
    <row r="74" spans="1:5" ht="30">
      <c r="A74" s="165" t="s">
        <v>228</v>
      </c>
      <c r="B74" s="144" t="s">
        <v>38</v>
      </c>
      <c r="C74" s="154"/>
      <c r="D74" s="88"/>
      <c r="E74" s="197">
        <f t="shared" si="1"/>
        <v>0</v>
      </c>
    </row>
    <row r="75" spans="1:5" ht="15">
      <c r="A75" s="165" t="s">
        <v>411</v>
      </c>
      <c r="B75" s="144" t="s">
        <v>38</v>
      </c>
      <c r="C75" s="154"/>
      <c r="D75" s="88"/>
      <c r="E75" s="197">
        <f t="shared" si="1"/>
        <v>0</v>
      </c>
    </row>
    <row r="76" spans="1:5" ht="15">
      <c r="A76" s="165" t="s">
        <v>444</v>
      </c>
      <c r="B76" s="144" t="s">
        <v>38</v>
      </c>
      <c r="C76" s="154"/>
      <c r="D76" s="88"/>
      <c r="E76" s="197">
        <f t="shared" si="1"/>
        <v>0</v>
      </c>
    </row>
    <row r="77" spans="1:5" ht="15">
      <c r="A77" s="165" t="s">
        <v>445</v>
      </c>
      <c r="B77" s="144" t="s">
        <v>38</v>
      </c>
      <c r="C77" s="154"/>
      <c r="D77" s="88"/>
      <c r="E77" s="197">
        <f t="shared" si="1"/>
        <v>0</v>
      </c>
    </row>
    <row r="78" spans="1:5" ht="15">
      <c r="A78" s="165" t="s">
        <v>446</v>
      </c>
      <c r="B78" s="111" t="s">
        <v>38</v>
      </c>
      <c r="C78" s="154"/>
      <c r="D78" s="88"/>
      <c r="E78" s="197">
        <f t="shared" si="1"/>
        <v>0</v>
      </c>
    </row>
    <row r="79" spans="1:6" ht="15">
      <c r="A79" s="165" t="s">
        <v>233</v>
      </c>
      <c r="B79" s="144" t="s">
        <v>38</v>
      </c>
      <c r="C79" s="154"/>
      <c r="D79" s="88"/>
      <c r="E79" s="197">
        <f t="shared" si="1"/>
        <v>0</v>
      </c>
      <c r="F79" s="142"/>
    </row>
    <row r="80" spans="1:5" ht="15">
      <c r="A80" s="165" t="s">
        <v>447</v>
      </c>
      <c r="B80" s="144" t="s">
        <v>38</v>
      </c>
      <c r="C80" s="154"/>
      <c r="D80" s="88"/>
      <c r="E80" s="197">
        <f t="shared" si="1"/>
        <v>0</v>
      </c>
    </row>
    <row r="81" spans="1:5" ht="15">
      <c r="A81" s="165" t="s">
        <v>235</v>
      </c>
      <c r="B81" s="144" t="s">
        <v>496</v>
      </c>
      <c r="C81" s="154"/>
      <c r="D81" s="88"/>
      <c r="E81" s="197">
        <f t="shared" si="1"/>
        <v>0</v>
      </c>
    </row>
    <row r="82" spans="1:5" ht="15">
      <c r="A82" s="165" t="s">
        <v>235</v>
      </c>
      <c r="B82" s="144" t="s">
        <v>480</v>
      </c>
      <c r="C82" s="154"/>
      <c r="D82" s="88"/>
      <c r="E82" s="197">
        <f t="shared" si="1"/>
        <v>0</v>
      </c>
    </row>
    <row r="83" spans="1:5" ht="30">
      <c r="A83" s="165" t="s">
        <v>236</v>
      </c>
      <c r="B83" s="144" t="s">
        <v>38</v>
      </c>
      <c r="C83" s="154"/>
      <c r="D83" s="88"/>
      <c r="E83" s="197">
        <f t="shared" si="1"/>
        <v>0</v>
      </c>
    </row>
    <row r="84" spans="1:5" ht="15">
      <c r="A84" s="165" t="s">
        <v>237</v>
      </c>
      <c r="B84" s="111" t="s">
        <v>38</v>
      </c>
      <c r="C84" s="154"/>
      <c r="D84" s="88"/>
      <c r="E84" s="197">
        <f t="shared" si="1"/>
        <v>0</v>
      </c>
    </row>
    <row r="85" spans="1:5" ht="33.75" customHeight="1">
      <c r="A85" s="165" t="s">
        <v>448</v>
      </c>
      <c r="B85" s="144" t="s">
        <v>497</v>
      </c>
      <c r="C85" s="154"/>
      <c r="D85" s="88"/>
      <c r="E85" s="197">
        <f t="shared" si="1"/>
        <v>0</v>
      </c>
    </row>
    <row r="86" spans="1:5" ht="15">
      <c r="A86" s="165" t="s">
        <v>449</v>
      </c>
      <c r="B86" s="111" t="s">
        <v>480</v>
      </c>
      <c r="C86" s="154"/>
      <c r="D86" s="88"/>
      <c r="E86" s="197">
        <f t="shared" si="1"/>
        <v>0</v>
      </c>
    </row>
    <row r="87" spans="1:5" ht="15">
      <c r="A87" s="165" t="s">
        <v>450</v>
      </c>
      <c r="B87" s="111" t="s">
        <v>498</v>
      </c>
      <c r="C87" s="154"/>
      <c r="D87" s="88"/>
      <c r="E87" s="197">
        <f t="shared" si="1"/>
        <v>0</v>
      </c>
    </row>
    <row r="88" spans="1:5" ht="15">
      <c r="A88" s="165" t="s">
        <v>16</v>
      </c>
      <c r="B88" s="111" t="s">
        <v>38</v>
      </c>
      <c r="C88" s="154"/>
      <c r="D88" s="88"/>
      <c r="E88" s="197">
        <f t="shared" si="1"/>
        <v>0</v>
      </c>
    </row>
    <row r="89" spans="1:5" ht="15">
      <c r="A89" s="165" t="s">
        <v>238</v>
      </c>
      <c r="B89" s="144" t="s">
        <v>38</v>
      </c>
      <c r="C89" s="154"/>
      <c r="D89" s="88"/>
      <c r="E89" s="197">
        <f t="shared" si="1"/>
        <v>0</v>
      </c>
    </row>
    <row r="90" spans="1:5" ht="30">
      <c r="A90" s="165" t="s">
        <v>239</v>
      </c>
      <c r="B90" s="144" t="s">
        <v>38</v>
      </c>
      <c r="C90" s="154"/>
      <c r="D90" s="88"/>
      <c r="E90" s="197">
        <f t="shared" si="1"/>
        <v>0</v>
      </c>
    </row>
    <row r="91" spans="1:5" ht="15">
      <c r="A91" s="165" t="s">
        <v>240</v>
      </c>
      <c r="B91" s="144" t="s">
        <v>38</v>
      </c>
      <c r="C91" s="154"/>
      <c r="D91" s="88"/>
      <c r="E91" s="197">
        <f t="shared" si="1"/>
        <v>0</v>
      </c>
    </row>
    <row r="92" spans="1:5" ht="15">
      <c r="A92" s="165" t="s">
        <v>241</v>
      </c>
      <c r="B92" s="144" t="s">
        <v>38</v>
      </c>
      <c r="C92" s="154"/>
      <c r="D92" s="88"/>
      <c r="E92" s="197">
        <f t="shared" si="1"/>
        <v>0</v>
      </c>
    </row>
    <row r="93" spans="1:5" ht="30">
      <c r="A93" s="165" t="s">
        <v>451</v>
      </c>
      <c r="B93" s="111" t="s">
        <v>480</v>
      </c>
      <c r="C93" s="154"/>
      <c r="D93" s="88"/>
      <c r="E93" s="197">
        <f t="shared" si="1"/>
        <v>0</v>
      </c>
    </row>
    <row r="94" spans="1:5" ht="25.5">
      <c r="A94" s="165" t="s">
        <v>452</v>
      </c>
      <c r="B94" s="144" t="s">
        <v>499</v>
      </c>
      <c r="C94" s="154"/>
      <c r="D94" s="88"/>
      <c r="E94" s="197">
        <f t="shared" si="1"/>
        <v>0</v>
      </c>
    </row>
    <row r="95" spans="1:5" ht="31.5">
      <c r="A95" s="165" t="s">
        <v>453</v>
      </c>
      <c r="B95" s="151" t="s">
        <v>500</v>
      </c>
      <c r="C95" s="171"/>
      <c r="D95" s="88"/>
      <c r="E95" s="197">
        <f t="shared" si="1"/>
        <v>0</v>
      </c>
    </row>
    <row r="96" spans="1:5" ht="15">
      <c r="A96" s="165" t="s">
        <v>454</v>
      </c>
      <c r="B96" s="146" t="s">
        <v>501</v>
      </c>
      <c r="C96" s="154"/>
      <c r="D96" s="88"/>
      <c r="E96" s="197">
        <f t="shared" si="1"/>
        <v>0</v>
      </c>
    </row>
    <row r="97" spans="1:5" ht="15">
      <c r="A97" s="165" t="s">
        <v>242</v>
      </c>
      <c r="B97" s="146" t="s">
        <v>38</v>
      </c>
      <c r="C97" s="154"/>
      <c r="D97" s="88"/>
      <c r="E97" s="197">
        <f t="shared" si="1"/>
        <v>0</v>
      </c>
    </row>
    <row r="98" spans="1:5" ht="15">
      <c r="A98" s="165" t="s">
        <v>455</v>
      </c>
      <c r="B98" s="146" t="s">
        <v>38</v>
      </c>
      <c r="C98" s="154"/>
      <c r="D98" s="175"/>
      <c r="E98" s="197">
        <f t="shared" si="1"/>
        <v>0</v>
      </c>
    </row>
    <row r="99" spans="1:5" ht="15">
      <c r="A99" s="165" t="s">
        <v>587</v>
      </c>
      <c r="B99" s="146"/>
      <c r="C99" s="154">
        <v>11.5</v>
      </c>
      <c r="D99" s="175">
        <v>1</v>
      </c>
      <c r="E99" s="197">
        <f t="shared" si="1"/>
        <v>11.5</v>
      </c>
    </row>
    <row r="100" spans="1:5" ht="30">
      <c r="A100" s="161" t="s">
        <v>243</v>
      </c>
      <c r="B100" s="35"/>
      <c r="C100" s="35"/>
      <c r="D100" s="35"/>
      <c r="E100" s="197">
        <f t="shared" si="1"/>
        <v>0</v>
      </c>
    </row>
    <row r="101" spans="1:5" ht="15">
      <c r="A101" s="165" t="s">
        <v>456</v>
      </c>
      <c r="B101" s="35" t="s">
        <v>502</v>
      </c>
      <c r="C101" s="35"/>
      <c r="D101" s="175"/>
      <c r="E101" s="197">
        <f t="shared" si="1"/>
        <v>0</v>
      </c>
    </row>
    <row r="102" spans="1:5" ht="15">
      <c r="A102" s="165" t="s">
        <v>457</v>
      </c>
      <c r="B102" s="35" t="s">
        <v>502</v>
      </c>
      <c r="C102" s="35"/>
      <c r="D102" s="176"/>
      <c r="E102" s="197">
        <f t="shared" si="1"/>
        <v>0</v>
      </c>
    </row>
    <row r="103" spans="1:5" ht="30">
      <c r="A103" s="165" t="s">
        <v>458</v>
      </c>
      <c r="B103" s="35" t="s">
        <v>503</v>
      </c>
      <c r="C103" s="35"/>
      <c r="D103" s="176"/>
      <c r="E103" s="197">
        <f t="shared" si="1"/>
        <v>0</v>
      </c>
    </row>
    <row r="105" spans="1:5" ht="15">
      <c r="A105" s="63" t="s">
        <v>572</v>
      </c>
      <c r="B105" s="35"/>
      <c r="C105" s="35"/>
      <c r="D105" s="35"/>
      <c r="E105" s="177">
        <f>SUM(E7:E104)-E45</f>
        <v>284.88000000000005</v>
      </c>
    </row>
    <row r="106" spans="1:5" ht="15">
      <c r="A106" s="178" t="s">
        <v>505</v>
      </c>
      <c r="B106" s="35"/>
      <c r="C106" s="35"/>
      <c r="D106" s="35"/>
      <c r="E106" s="179">
        <f>E105*22%</f>
        <v>62.673600000000015</v>
      </c>
    </row>
    <row r="107" spans="1:5" ht="15">
      <c r="A107" s="63" t="s">
        <v>573</v>
      </c>
      <c r="B107" s="35"/>
      <c r="C107" s="35"/>
      <c r="D107" s="35"/>
      <c r="E107" s="179"/>
    </row>
    <row r="108" spans="1:5" ht="15">
      <c r="A108" s="178" t="s">
        <v>574</v>
      </c>
      <c r="B108" s="35"/>
      <c r="C108" s="35"/>
      <c r="D108" s="35"/>
      <c r="E108" s="179">
        <f>E107*5%</f>
        <v>0</v>
      </c>
    </row>
    <row r="109" spans="1:5" ht="15">
      <c r="A109" s="180" t="s">
        <v>504</v>
      </c>
      <c r="B109" s="35"/>
      <c r="C109" s="35"/>
      <c r="D109" s="35"/>
      <c r="E109" s="179">
        <f>SUM(E105:E108)</f>
        <v>347.5536000000001</v>
      </c>
    </row>
  </sheetData>
  <sheetProtection/>
  <mergeCells count="4">
    <mergeCell ref="A2:F2"/>
    <mergeCell ref="A3:F3"/>
    <mergeCell ref="A4:A5"/>
    <mergeCell ref="B4:E4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paperSize="9" scale="50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L10"/>
  <sheetViews>
    <sheetView zoomScalePageLayoutView="0" workbookViewId="0" topLeftCell="A1">
      <selection activeCell="A5" sqref="A5:L10"/>
    </sheetView>
  </sheetViews>
  <sheetFormatPr defaultColWidth="9.140625" defaultRowHeight="12.75"/>
  <cols>
    <col min="1" max="1" width="32.57421875" style="0" customWidth="1"/>
    <col min="2" max="2" width="17.421875" style="0" bestFit="1" customWidth="1"/>
    <col min="3" max="3" width="9.28125" style="0" bestFit="1" customWidth="1"/>
    <col min="4" max="4" width="12.28125" style="0" bestFit="1" customWidth="1"/>
    <col min="5" max="5" width="9.7109375" style="0" bestFit="1" customWidth="1"/>
    <col min="6" max="6" width="9.7109375" style="0" customWidth="1"/>
    <col min="7" max="7" width="10.57421875" style="0" bestFit="1" customWidth="1"/>
    <col min="8" max="8" width="12.8515625" style="0" customWidth="1"/>
    <col min="9" max="9" width="4.28125" style="0" customWidth="1"/>
    <col min="10" max="10" width="13.00390625" style="0" customWidth="1"/>
    <col min="11" max="11" width="13.57421875" style="0" customWidth="1"/>
    <col min="12" max="12" width="13.140625" style="0" customWidth="1"/>
  </cols>
  <sheetData>
    <row r="5" spans="2:12" s="150" customFormat="1" ht="31.5" customHeight="1">
      <c r="B5" s="176" t="s">
        <v>566</v>
      </c>
      <c r="C5" s="176" t="s">
        <v>567</v>
      </c>
      <c r="D5" s="176" t="s">
        <v>568</v>
      </c>
      <c r="E5" s="176" t="s">
        <v>569</v>
      </c>
      <c r="F5" s="176" t="s">
        <v>570</v>
      </c>
      <c r="G5" s="176" t="s">
        <v>571</v>
      </c>
      <c r="J5" s="176" t="s">
        <v>579</v>
      </c>
      <c r="K5" s="176" t="s">
        <v>580</v>
      </c>
      <c r="L5" s="176" t="s">
        <v>581</v>
      </c>
    </row>
    <row r="6" spans="1:12" ht="12.75">
      <c r="A6" s="63" t="s">
        <v>575</v>
      </c>
      <c r="B6" s="195">
        <f>'UFFICI-PALESTRA'!E104</f>
        <v>166.09</v>
      </c>
      <c r="C6" s="195">
        <f>COLLODI!E106</f>
        <v>1043.51</v>
      </c>
      <c r="D6" s="195">
        <f>CAPPANNINI!E106</f>
        <v>877.51</v>
      </c>
      <c r="E6" s="195">
        <f>ROUND(SBRISCIA!E104,2)</f>
        <v>168.65</v>
      </c>
      <c r="F6" s="195">
        <f>RODARI!E104</f>
        <v>314.85999999999996</v>
      </c>
      <c r="G6" s="195">
        <f>LORENZINI!E105</f>
        <v>284.88000000000005</v>
      </c>
      <c r="H6" s="196">
        <f>SUM(B6:G6)</f>
        <v>2855.5</v>
      </c>
      <c r="J6" s="195">
        <v>6410.82</v>
      </c>
      <c r="K6" s="243">
        <f>J6+J8</f>
        <v>6718.82</v>
      </c>
      <c r="L6" s="243">
        <f>J7+J9</f>
        <v>1425.7800000000002</v>
      </c>
    </row>
    <row r="7" spans="1:12" ht="12.75">
      <c r="A7" s="63" t="s">
        <v>576</v>
      </c>
      <c r="B7" s="195">
        <f>ROUND('UFFICI-PALESTRA'!E105,2)</f>
        <v>36.54</v>
      </c>
      <c r="C7" s="195">
        <f>ROUND(COLLODI!E107,2)</f>
        <v>229.57</v>
      </c>
      <c r="D7" s="195">
        <f>ROUND(CAPPANNINI!E107,2)</f>
        <v>193.05</v>
      </c>
      <c r="E7" s="195">
        <f>ROUND(SBRISCIA!E105,2)</f>
        <v>37.1</v>
      </c>
      <c r="F7" s="195">
        <f>ROUND(RODARI!E105,2)</f>
        <v>69.27</v>
      </c>
      <c r="G7" s="195">
        <f>ROUND(LORENZINI!E106,2)</f>
        <v>62.67</v>
      </c>
      <c r="H7" s="196">
        <f>SUM(B7:G7)</f>
        <v>628.2</v>
      </c>
      <c r="J7" s="195">
        <v>1410.38</v>
      </c>
      <c r="K7" s="244"/>
      <c r="L7" s="244"/>
    </row>
    <row r="8" spans="1:12" ht="12.75">
      <c r="A8" s="63" t="s">
        <v>577</v>
      </c>
      <c r="B8" s="195">
        <f>ROUND('UFFICI-PALESTRA'!E106,2)</f>
        <v>0</v>
      </c>
      <c r="C8" s="195">
        <f>ROUND(COLLODI!E108,2)</f>
        <v>0</v>
      </c>
      <c r="D8" s="195">
        <f>ROUND(CAPPANNINI!E108,2)</f>
        <v>48</v>
      </c>
      <c r="E8" s="195">
        <f>ROUND(SBRISCIA!E106,2)</f>
        <v>20</v>
      </c>
      <c r="F8" s="195">
        <f>ROUND(RODARI!E106,2)</f>
        <v>24</v>
      </c>
      <c r="G8" s="195">
        <f>ROUND(LORENZINI!E107,2)</f>
        <v>0</v>
      </c>
      <c r="H8" s="196">
        <f>SUM(B8:G8)</f>
        <v>92</v>
      </c>
      <c r="J8" s="195">
        <v>308</v>
      </c>
      <c r="K8" s="244"/>
      <c r="L8" s="244"/>
    </row>
    <row r="9" spans="1:12" ht="12.75">
      <c r="A9" s="63" t="s">
        <v>578</v>
      </c>
      <c r="B9" s="195">
        <f>ROUND('UFFICI-PALESTRA'!E107,2)</f>
        <v>0</v>
      </c>
      <c r="C9" s="195">
        <f>ROUND(COLLODI!E109,2)</f>
        <v>0</v>
      </c>
      <c r="D9" s="195">
        <f>ROUND(CAPPANNINI!E109,2)</f>
        <v>2.4</v>
      </c>
      <c r="E9" s="195">
        <f>ROUND(SBRISCIA!E107,2)</f>
        <v>1</v>
      </c>
      <c r="F9" s="195">
        <f>ROUND(RODARI!E107,2)</f>
        <v>1.2</v>
      </c>
      <c r="G9" s="195">
        <f>ROUND(LORENZINI!E108,2)</f>
        <v>0</v>
      </c>
      <c r="H9" s="196">
        <f>SUM(B9:G9)</f>
        <v>4.6</v>
      </c>
      <c r="J9" s="195">
        <v>15.4</v>
      </c>
      <c r="K9" s="244"/>
      <c r="L9" s="244"/>
    </row>
    <row r="10" spans="1:8" ht="12.75">
      <c r="A10" s="63" t="s">
        <v>565</v>
      </c>
      <c r="B10" s="195">
        <f aca="true" t="shared" si="0" ref="B10:G10">SUM(B6:B9)</f>
        <v>202.63</v>
      </c>
      <c r="C10" s="195">
        <f t="shared" si="0"/>
        <v>1273.08</v>
      </c>
      <c r="D10" s="195">
        <f t="shared" si="0"/>
        <v>1120.96</v>
      </c>
      <c r="E10" s="195">
        <f t="shared" si="0"/>
        <v>226.75</v>
      </c>
      <c r="F10" s="195">
        <f t="shared" si="0"/>
        <v>409.3299999999999</v>
      </c>
      <c r="G10" s="195">
        <f t="shared" si="0"/>
        <v>347.55000000000007</v>
      </c>
      <c r="H10" s="196">
        <f>SUM(B10:G10)</f>
        <v>3580.3</v>
      </c>
    </row>
  </sheetData>
  <sheetProtection/>
  <mergeCells count="2">
    <mergeCell ref="K6:K9"/>
    <mergeCell ref="L6:L9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V99"/>
  <sheetViews>
    <sheetView view="pageBreakPreview" zoomScale="75" zoomScaleNormal="90" zoomScaleSheetLayoutView="7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86" sqref="F86"/>
    </sheetView>
  </sheetViews>
  <sheetFormatPr defaultColWidth="9.140625" defaultRowHeight="12.75"/>
  <cols>
    <col min="1" max="1" width="69.421875" style="0" customWidth="1"/>
    <col min="2" max="2" width="20.421875" style="0" customWidth="1"/>
    <col min="3" max="3" width="13.140625" style="0" customWidth="1"/>
    <col min="4" max="4" width="12.28125" style="0" customWidth="1"/>
    <col min="5" max="5" width="24.57421875" style="0" customWidth="1"/>
    <col min="6" max="6" width="8.8515625" style="0" customWidth="1"/>
    <col min="7" max="7" width="10.00390625" style="0" customWidth="1"/>
    <col min="8" max="8" width="25.421875" style="0" bestFit="1" customWidth="1"/>
    <col min="9" max="9" width="11.28125" style="0" customWidth="1"/>
    <col min="10" max="10" width="10.57421875" style="0" customWidth="1"/>
    <col min="11" max="11" width="22.8515625" style="0" bestFit="1" customWidth="1"/>
    <col min="12" max="12" width="10.28125" style="0" customWidth="1"/>
    <col min="13" max="13" width="10.8515625" style="0" customWidth="1"/>
    <col min="14" max="14" width="13.8515625" style="0" customWidth="1"/>
    <col min="15" max="15" width="16.7109375" style="0" customWidth="1"/>
    <col min="16" max="16" width="16.28125" style="0" customWidth="1"/>
    <col min="19" max="19" width="11.421875" style="0" bestFit="1" customWidth="1"/>
    <col min="20" max="20" width="14.00390625" style="0" customWidth="1"/>
    <col min="21" max="21" width="11.421875" style="0" bestFit="1" customWidth="1"/>
    <col min="22" max="22" width="11.00390625" style="0" customWidth="1"/>
  </cols>
  <sheetData>
    <row r="1" ht="13.5" thickBot="1"/>
    <row r="2" spans="1:13" ht="18.75" thickBot="1">
      <c r="A2" s="209" t="s">
        <v>321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1"/>
    </row>
    <row r="3" ht="13.5" thickBot="1"/>
    <row r="4" spans="1:22" ht="15.75" customHeight="1">
      <c r="A4" s="218" t="s">
        <v>0</v>
      </c>
      <c r="B4" s="220" t="s">
        <v>29</v>
      </c>
      <c r="C4" s="221"/>
      <c r="D4" s="222"/>
      <c r="E4" s="228" t="s">
        <v>260</v>
      </c>
      <c r="F4" s="229"/>
      <c r="G4" s="230"/>
      <c r="H4" s="231" t="s">
        <v>76</v>
      </c>
      <c r="I4" s="232"/>
      <c r="J4" s="233"/>
      <c r="K4" s="223" t="s">
        <v>78</v>
      </c>
      <c r="L4" s="224"/>
      <c r="M4" s="225"/>
      <c r="N4" s="10"/>
      <c r="P4" s="216" t="s">
        <v>1</v>
      </c>
      <c r="Q4" s="216"/>
      <c r="S4" s="212" t="s">
        <v>57</v>
      </c>
      <c r="T4" s="214" t="s">
        <v>260</v>
      </c>
      <c r="U4" s="226" t="s">
        <v>134</v>
      </c>
      <c r="V4" s="217" t="s">
        <v>138</v>
      </c>
    </row>
    <row r="5" spans="1:22" ht="18.75" customHeight="1">
      <c r="A5" s="219"/>
      <c r="B5" s="64" t="s">
        <v>2</v>
      </c>
      <c r="C5" s="65" t="s">
        <v>3</v>
      </c>
      <c r="D5" s="66" t="s">
        <v>4</v>
      </c>
      <c r="E5" s="67" t="s">
        <v>2</v>
      </c>
      <c r="F5" s="68" t="s">
        <v>3</v>
      </c>
      <c r="G5" s="69" t="s">
        <v>4</v>
      </c>
      <c r="H5" s="70" t="s">
        <v>2</v>
      </c>
      <c r="I5" s="71" t="s">
        <v>3</v>
      </c>
      <c r="J5" s="72" t="s">
        <v>4</v>
      </c>
      <c r="K5" s="76" t="s">
        <v>2</v>
      </c>
      <c r="L5" s="77" t="s">
        <v>3</v>
      </c>
      <c r="M5" s="78" t="s">
        <v>4</v>
      </c>
      <c r="N5" s="11"/>
      <c r="P5" s="216"/>
      <c r="Q5" s="216"/>
      <c r="S5" s="213"/>
      <c r="T5" s="215"/>
      <c r="U5" s="226"/>
      <c r="V5" s="217"/>
    </row>
    <row r="6" spans="1:22" s="28" customFormat="1" ht="25.5" customHeight="1">
      <c r="A6" s="227" t="s">
        <v>252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9"/>
      <c r="P6" s="111"/>
      <c r="Q6" s="116"/>
      <c r="R6" s="137"/>
      <c r="S6" s="138"/>
      <c r="T6" s="138"/>
      <c r="U6" s="139"/>
      <c r="V6" s="140"/>
    </row>
    <row r="7" spans="1:22" s="28" customFormat="1" ht="47.25">
      <c r="A7" s="109" t="s">
        <v>178</v>
      </c>
      <c r="B7" s="111" t="s">
        <v>261</v>
      </c>
      <c r="C7" s="6">
        <v>1.15</v>
      </c>
      <c r="D7" s="54">
        <f>C7/10</f>
        <v>0.11499999999999999</v>
      </c>
      <c r="E7" s="111" t="s">
        <v>292</v>
      </c>
      <c r="F7" s="5">
        <f>G7*10</f>
        <v>1.1</v>
      </c>
      <c r="G7" s="54">
        <v>0.11</v>
      </c>
      <c r="H7" s="111" t="s">
        <v>334</v>
      </c>
      <c r="I7" s="5">
        <v>0.99</v>
      </c>
      <c r="J7" s="54">
        <f>I7/10</f>
        <v>0.099</v>
      </c>
      <c r="K7" s="111" t="s">
        <v>368</v>
      </c>
      <c r="L7" s="5">
        <v>1.59</v>
      </c>
      <c r="M7" s="54">
        <f>L7/10</f>
        <v>0.159</v>
      </c>
      <c r="N7" s="9"/>
      <c r="P7" s="111"/>
      <c r="Q7" s="116">
        <v>720</v>
      </c>
      <c r="R7" s="137"/>
      <c r="S7" s="138">
        <f aca="true" t="shared" si="0" ref="S7:S38">Q7*D7</f>
        <v>82.8</v>
      </c>
      <c r="T7" s="138">
        <f aca="true" t="shared" si="1" ref="T7:T15">Q7*G7</f>
        <v>79.2</v>
      </c>
      <c r="U7" s="139">
        <f aca="true" t="shared" si="2" ref="U7:U38">Q7*J7</f>
        <v>71.28</v>
      </c>
      <c r="V7" s="140">
        <f aca="true" t="shared" si="3" ref="V7:V38">Q7*M7</f>
        <v>114.48</v>
      </c>
    </row>
    <row r="8" spans="1:22" s="28" customFormat="1" ht="47.25">
      <c r="A8" s="109" t="s">
        <v>26</v>
      </c>
      <c r="B8" s="111" t="s">
        <v>261</v>
      </c>
      <c r="C8" s="6">
        <v>1.15</v>
      </c>
      <c r="D8" s="54">
        <v>0.11499999999999999</v>
      </c>
      <c r="E8" s="111" t="s">
        <v>294</v>
      </c>
      <c r="F8" s="8">
        <f>G8*10</f>
        <v>1</v>
      </c>
      <c r="G8" s="112">
        <v>0.1</v>
      </c>
      <c r="H8" s="111" t="s">
        <v>335</v>
      </c>
      <c r="I8" s="5">
        <v>0.99</v>
      </c>
      <c r="J8" s="54">
        <f>I8/10</f>
        <v>0.099</v>
      </c>
      <c r="K8" s="111" t="s">
        <v>115</v>
      </c>
      <c r="L8" s="5">
        <v>13.4</v>
      </c>
      <c r="M8" s="115">
        <f>L8/12/10</f>
        <v>0.11166666666666666</v>
      </c>
      <c r="N8" s="9"/>
      <c r="P8" s="133"/>
      <c r="Q8" s="124"/>
      <c r="R8" s="137"/>
      <c r="S8" s="138">
        <f t="shared" si="0"/>
        <v>0</v>
      </c>
      <c r="T8" s="138">
        <f t="shared" si="1"/>
        <v>0</v>
      </c>
      <c r="U8" s="139">
        <f t="shared" si="2"/>
        <v>0</v>
      </c>
      <c r="V8" s="140">
        <f t="shared" si="3"/>
        <v>0</v>
      </c>
    </row>
    <row r="9" spans="1:22" s="28" customFormat="1" ht="38.25">
      <c r="A9" s="109" t="s">
        <v>179</v>
      </c>
      <c r="B9" s="111" t="s">
        <v>262</v>
      </c>
      <c r="C9" s="6">
        <v>1.23</v>
      </c>
      <c r="D9" s="54">
        <f>C9/4</f>
        <v>0.3075</v>
      </c>
      <c r="E9" s="111" t="s">
        <v>293</v>
      </c>
      <c r="F9" s="5">
        <f>G9*80</f>
        <v>20</v>
      </c>
      <c r="G9" s="54">
        <v>0.25</v>
      </c>
      <c r="H9" s="111" t="s">
        <v>336</v>
      </c>
      <c r="I9" s="5">
        <v>1.3</v>
      </c>
      <c r="J9" s="54">
        <f>I9/4</f>
        <v>0.325</v>
      </c>
      <c r="K9" s="111" t="s">
        <v>369</v>
      </c>
      <c r="L9" s="5">
        <v>25.2</v>
      </c>
      <c r="M9" s="54">
        <f>L9/80</f>
        <v>0.315</v>
      </c>
      <c r="N9" s="9"/>
      <c r="P9" s="133"/>
      <c r="Q9" s="124"/>
      <c r="R9" s="137"/>
      <c r="S9" s="138">
        <f t="shared" si="0"/>
        <v>0</v>
      </c>
      <c r="T9" s="138">
        <f t="shared" si="1"/>
        <v>0</v>
      </c>
      <c r="U9" s="139">
        <f t="shared" si="2"/>
        <v>0</v>
      </c>
      <c r="V9" s="140">
        <f t="shared" si="3"/>
        <v>0</v>
      </c>
    </row>
    <row r="10" spans="1:22" s="28" customFormat="1" ht="63">
      <c r="A10" s="110" t="s">
        <v>180</v>
      </c>
      <c r="B10" s="111" t="s">
        <v>263</v>
      </c>
      <c r="C10" s="6">
        <v>5.05</v>
      </c>
      <c r="D10" s="54">
        <f>C10/2</f>
        <v>2.525</v>
      </c>
      <c r="E10" s="111" t="s">
        <v>295</v>
      </c>
      <c r="F10" s="5">
        <f>G10*2</f>
        <v>6</v>
      </c>
      <c r="G10" s="54">
        <v>3</v>
      </c>
      <c r="H10" s="111" t="s">
        <v>337</v>
      </c>
      <c r="I10" s="5">
        <v>5.2</v>
      </c>
      <c r="J10" s="54">
        <f>I10/2</f>
        <v>2.6</v>
      </c>
      <c r="K10" s="111" t="s">
        <v>371</v>
      </c>
      <c r="L10" s="5">
        <v>7.85</v>
      </c>
      <c r="M10" s="54">
        <f>L10/2</f>
        <v>3.925</v>
      </c>
      <c r="N10" s="9"/>
      <c r="P10" s="111"/>
      <c r="Q10" s="116"/>
      <c r="R10" s="137"/>
      <c r="S10" s="138">
        <f t="shared" si="0"/>
        <v>0</v>
      </c>
      <c r="T10" s="138">
        <f t="shared" si="1"/>
        <v>0</v>
      </c>
      <c r="U10" s="139">
        <f t="shared" si="2"/>
        <v>0</v>
      </c>
      <c r="V10" s="140">
        <f t="shared" si="3"/>
        <v>0</v>
      </c>
    </row>
    <row r="11" spans="1:22" s="28" customFormat="1" ht="63">
      <c r="A11" s="110" t="s">
        <v>181</v>
      </c>
      <c r="B11" s="111" t="s">
        <v>263</v>
      </c>
      <c r="C11" s="6">
        <v>5.05</v>
      </c>
      <c r="D11" s="54">
        <f>C11/2</f>
        <v>2.525</v>
      </c>
      <c r="E11" s="111" t="s">
        <v>296</v>
      </c>
      <c r="F11" s="5">
        <f>G11*2</f>
        <v>4.8</v>
      </c>
      <c r="G11" s="54">
        <v>2.4</v>
      </c>
      <c r="H11" s="111" t="s">
        <v>338</v>
      </c>
      <c r="I11" s="5">
        <v>4.99</v>
      </c>
      <c r="J11" s="54">
        <f>I11/2</f>
        <v>2.495</v>
      </c>
      <c r="K11" s="111" t="s">
        <v>370</v>
      </c>
      <c r="L11" s="5">
        <v>5.98</v>
      </c>
      <c r="M11" s="54">
        <f>L11/2</f>
        <v>2.99</v>
      </c>
      <c r="N11" s="9"/>
      <c r="P11" s="140"/>
      <c r="Q11" s="116">
        <v>60</v>
      </c>
      <c r="R11" s="137"/>
      <c r="S11" s="138">
        <f t="shared" si="0"/>
        <v>151.5</v>
      </c>
      <c r="T11" s="138">
        <f t="shared" si="1"/>
        <v>144</v>
      </c>
      <c r="U11" s="139">
        <f t="shared" si="2"/>
        <v>149.70000000000002</v>
      </c>
      <c r="V11" s="140">
        <f t="shared" si="3"/>
        <v>179.4</v>
      </c>
    </row>
    <row r="12" spans="1:22" s="28" customFormat="1" ht="15.75">
      <c r="A12" s="109" t="s">
        <v>182</v>
      </c>
      <c r="B12" s="111" t="s">
        <v>264</v>
      </c>
      <c r="C12" s="6">
        <f>D12*3840</f>
        <v>25.80096</v>
      </c>
      <c r="D12" s="114">
        <v>0.006719</v>
      </c>
      <c r="E12" s="111" t="s">
        <v>297</v>
      </c>
      <c r="F12" s="5">
        <f>G12*3750</f>
        <v>14.25</v>
      </c>
      <c r="G12" s="115">
        <v>0.0038</v>
      </c>
      <c r="H12" s="111" t="s">
        <v>339</v>
      </c>
      <c r="I12" s="5">
        <v>12.5</v>
      </c>
      <c r="J12" s="115">
        <f>I12/3150</f>
        <v>0.003968253968253968</v>
      </c>
      <c r="K12" s="111" t="s">
        <v>372</v>
      </c>
      <c r="L12" s="5">
        <v>21.27</v>
      </c>
      <c r="M12" s="115">
        <f>L12/3060</f>
        <v>0.006950980392156862</v>
      </c>
      <c r="N12" s="9"/>
      <c r="P12" s="111"/>
      <c r="Q12" s="116"/>
      <c r="R12" s="137"/>
      <c r="S12" s="138">
        <f t="shared" si="0"/>
        <v>0</v>
      </c>
      <c r="T12" s="138">
        <f t="shared" si="1"/>
        <v>0</v>
      </c>
      <c r="U12" s="139">
        <f t="shared" si="2"/>
        <v>0</v>
      </c>
      <c r="V12" s="140">
        <f t="shared" si="3"/>
        <v>0</v>
      </c>
    </row>
    <row r="13" spans="1:22" s="28" customFormat="1" ht="15.75">
      <c r="A13" s="109" t="s">
        <v>183</v>
      </c>
      <c r="B13" s="111" t="s">
        <v>38</v>
      </c>
      <c r="C13" s="6">
        <v>10.4</v>
      </c>
      <c r="D13" s="54">
        <f>C13</f>
        <v>10.4</v>
      </c>
      <c r="E13" s="104" t="s">
        <v>38</v>
      </c>
      <c r="F13" s="8">
        <v>16</v>
      </c>
      <c r="G13" s="54">
        <f>F13/1</f>
        <v>16</v>
      </c>
      <c r="H13" s="127" t="s">
        <v>38</v>
      </c>
      <c r="I13" s="8">
        <v>15.2</v>
      </c>
      <c r="J13" s="54">
        <f>I13/1</f>
        <v>15.2</v>
      </c>
      <c r="K13" s="131" t="s">
        <v>38</v>
      </c>
      <c r="L13" s="8">
        <v>13.72</v>
      </c>
      <c r="M13" s="54">
        <f>L13/1</f>
        <v>13.72</v>
      </c>
      <c r="N13" s="9"/>
      <c r="P13" s="111"/>
      <c r="Q13" s="116"/>
      <c r="R13" s="137"/>
      <c r="S13" s="138">
        <f t="shared" si="0"/>
        <v>0</v>
      </c>
      <c r="T13" s="138">
        <f t="shared" si="1"/>
        <v>0</v>
      </c>
      <c r="U13" s="139">
        <f t="shared" si="2"/>
        <v>0</v>
      </c>
      <c r="V13" s="140">
        <f t="shared" si="3"/>
        <v>0</v>
      </c>
    </row>
    <row r="14" spans="1:22" s="28" customFormat="1" ht="35.25" customHeight="1">
      <c r="A14" s="109" t="s">
        <v>184</v>
      </c>
      <c r="B14" s="111" t="s">
        <v>38</v>
      </c>
      <c r="C14" s="6">
        <v>8.1</v>
      </c>
      <c r="D14" s="54">
        <f>C14</f>
        <v>8.1</v>
      </c>
      <c r="E14" s="104" t="s">
        <v>38</v>
      </c>
      <c r="F14" s="5">
        <v>6.8</v>
      </c>
      <c r="G14" s="54">
        <f>F14/1</f>
        <v>6.8</v>
      </c>
      <c r="H14" s="104" t="s">
        <v>38</v>
      </c>
      <c r="I14" s="5">
        <v>15.1</v>
      </c>
      <c r="J14" s="54">
        <f>I14/1</f>
        <v>15.1</v>
      </c>
      <c r="K14" s="104" t="s">
        <v>38</v>
      </c>
      <c r="L14" s="5">
        <v>6.6</v>
      </c>
      <c r="M14" s="54">
        <f>L14/1</f>
        <v>6.6</v>
      </c>
      <c r="N14" s="9"/>
      <c r="P14" s="111"/>
      <c r="Q14" s="116"/>
      <c r="R14" s="137"/>
      <c r="S14" s="138">
        <f t="shared" si="0"/>
        <v>0</v>
      </c>
      <c r="T14" s="138">
        <f t="shared" si="1"/>
        <v>0</v>
      </c>
      <c r="U14" s="139">
        <f t="shared" si="2"/>
        <v>0</v>
      </c>
      <c r="V14" s="140">
        <f t="shared" si="3"/>
        <v>0</v>
      </c>
    </row>
    <row r="15" spans="1:22" s="28" customFormat="1" ht="36.75" customHeight="1">
      <c r="A15" s="109" t="s">
        <v>185</v>
      </c>
      <c r="B15" s="111" t="s">
        <v>265</v>
      </c>
      <c r="C15" s="6">
        <v>13.1</v>
      </c>
      <c r="D15" s="54">
        <f>C15</f>
        <v>13.1</v>
      </c>
      <c r="E15" s="104" t="s">
        <v>265</v>
      </c>
      <c r="F15" s="5">
        <v>12.5</v>
      </c>
      <c r="G15" s="54">
        <f>F15/1</f>
        <v>12.5</v>
      </c>
      <c r="H15" s="104" t="s">
        <v>340</v>
      </c>
      <c r="I15" s="5">
        <v>12.5</v>
      </c>
      <c r="J15" s="54">
        <f>I15/1</f>
        <v>12.5</v>
      </c>
      <c r="K15" s="104" t="s">
        <v>38</v>
      </c>
      <c r="L15" s="5">
        <v>9.34</v>
      </c>
      <c r="M15" s="54">
        <f>L15/1</f>
        <v>9.34</v>
      </c>
      <c r="N15" s="9"/>
      <c r="P15" s="111"/>
      <c r="Q15" s="116"/>
      <c r="R15" s="137"/>
      <c r="S15" s="138">
        <f t="shared" si="0"/>
        <v>0</v>
      </c>
      <c r="T15" s="138">
        <f t="shared" si="1"/>
        <v>0</v>
      </c>
      <c r="U15" s="139">
        <f t="shared" si="2"/>
        <v>0</v>
      </c>
      <c r="V15" s="140">
        <f t="shared" si="3"/>
        <v>0</v>
      </c>
    </row>
    <row r="16" spans="1:22" s="28" customFormat="1" ht="35.25" customHeight="1">
      <c r="A16" s="109" t="s">
        <v>186</v>
      </c>
      <c r="B16" s="111" t="s">
        <v>38</v>
      </c>
      <c r="C16" s="6">
        <v>1.4</v>
      </c>
      <c r="D16" s="54">
        <f>C16</f>
        <v>1.4</v>
      </c>
      <c r="E16" s="104" t="s">
        <v>38</v>
      </c>
      <c r="F16" s="122" t="s">
        <v>298</v>
      </c>
      <c r="G16" s="123" t="s">
        <v>298</v>
      </c>
      <c r="H16" s="104" t="s">
        <v>341</v>
      </c>
      <c r="I16" s="128">
        <v>1.45</v>
      </c>
      <c r="J16" s="54">
        <f>I16/1</f>
        <v>1.45</v>
      </c>
      <c r="K16" s="104" t="s">
        <v>373</v>
      </c>
      <c r="L16" s="128">
        <v>1.19</v>
      </c>
      <c r="M16" s="54">
        <f>L16/1</f>
        <v>1.19</v>
      </c>
      <c r="N16" s="9"/>
      <c r="P16" s="111"/>
      <c r="Q16" s="116"/>
      <c r="R16" s="137"/>
      <c r="S16" s="138">
        <f t="shared" si="0"/>
        <v>0</v>
      </c>
      <c r="T16" s="138"/>
      <c r="U16" s="139">
        <f t="shared" si="2"/>
        <v>0</v>
      </c>
      <c r="V16" s="140">
        <f t="shared" si="3"/>
        <v>0</v>
      </c>
    </row>
    <row r="17" spans="1:22" s="28" customFormat="1" ht="25.5" customHeight="1">
      <c r="A17" s="109" t="s">
        <v>187</v>
      </c>
      <c r="B17" s="111" t="s">
        <v>38</v>
      </c>
      <c r="C17" s="6">
        <v>1.4</v>
      </c>
      <c r="D17" s="54">
        <f>C17</f>
        <v>1.4</v>
      </c>
      <c r="E17" s="111" t="s">
        <v>38</v>
      </c>
      <c r="F17" s="5">
        <v>1.3</v>
      </c>
      <c r="G17" s="115">
        <f>F17/1</f>
        <v>1.3</v>
      </c>
      <c r="H17" s="111" t="s">
        <v>38</v>
      </c>
      <c r="I17" s="5">
        <v>1.45</v>
      </c>
      <c r="J17" s="115">
        <f>I17/1</f>
        <v>1.45</v>
      </c>
      <c r="K17" s="111" t="s">
        <v>38</v>
      </c>
      <c r="L17" s="5">
        <v>1.56</v>
      </c>
      <c r="M17" s="115">
        <f>L17/1</f>
        <v>1.56</v>
      </c>
      <c r="N17" s="9"/>
      <c r="P17" s="111"/>
      <c r="Q17" s="116"/>
      <c r="R17" s="137"/>
      <c r="S17" s="138">
        <f t="shared" si="0"/>
        <v>0</v>
      </c>
      <c r="T17" s="138">
        <f aca="true" t="shared" si="4" ref="T17:T54">Q17*G17</f>
        <v>0</v>
      </c>
      <c r="U17" s="139">
        <f t="shared" si="2"/>
        <v>0</v>
      </c>
      <c r="V17" s="140">
        <f t="shared" si="3"/>
        <v>0</v>
      </c>
    </row>
    <row r="18" spans="1:22" s="28" customFormat="1" ht="15.75">
      <c r="A18" s="227" t="s">
        <v>188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9"/>
      <c r="P18" s="133"/>
      <c r="Q18" s="124"/>
      <c r="R18" s="137"/>
      <c r="S18" s="138">
        <f t="shared" si="0"/>
        <v>0</v>
      </c>
      <c r="T18" s="138">
        <f t="shared" si="4"/>
        <v>0</v>
      </c>
      <c r="U18" s="139">
        <f t="shared" si="2"/>
        <v>0</v>
      </c>
      <c r="V18" s="140">
        <f t="shared" si="3"/>
        <v>0</v>
      </c>
    </row>
    <row r="19" spans="1:22" s="28" customFormat="1" ht="47.25">
      <c r="A19" s="109" t="s">
        <v>253</v>
      </c>
      <c r="B19" s="111" t="s">
        <v>266</v>
      </c>
      <c r="C19" s="6">
        <v>1.45</v>
      </c>
      <c r="D19" s="54">
        <f>C19</f>
        <v>1.45</v>
      </c>
      <c r="E19" s="111" t="s">
        <v>299</v>
      </c>
      <c r="F19" s="5">
        <v>1.65</v>
      </c>
      <c r="G19" s="115">
        <f>F19/750*1000</f>
        <v>2.1999999999999997</v>
      </c>
      <c r="H19" s="111" t="s">
        <v>342</v>
      </c>
      <c r="I19" s="5">
        <v>1.09</v>
      </c>
      <c r="J19" s="115">
        <f>I19/750*1000</f>
        <v>1.4533333333333334</v>
      </c>
      <c r="K19" s="111" t="s">
        <v>374</v>
      </c>
      <c r="L19" s="5">
        <v>1.24</v>
      </c>
      <c r="M19" s="115">
        <f>L19/750*1000</f>
        <v>1.6533333333333333</v>
      </c>
      <c r="N19" s="9"/>
      <c r="P19" s="133"/>
      <c r="Q19" s="116"/>
      <c r="R19" s="137"/>
      <c r="S19" s="138">
        <f t="shared" si="0"/>
        <v>0</v>
      </c>
      <c r="T19" s="138">
        <f t="shared" si="4"/>
        <v>0</v>
      </c>
      <c r="U19" s="139">
        <f t="shared" si="2"/>
        <v>0</v>
      </c>
      <c r="V19" s="140">
        <f t="shared" si="3"/>
        <v>0</v>
      </c>
    </row>
    <row r="20" spans="1:22" s="28" customFormat="1" ht="38.25">
      <c r="A20" s="109" t="s">
        <v>254</v>
      </c>
      <c r="B20" s="111" t="s">
        <v>267</v>
      </c>
      <c r="C20" s="6">
        <v>3</v>
      </c>
      <c r="D20" s="54">
        <f>C20/5</f>
        <v>0.6</v>
      </c>
      <c r="E20" s="111" t="s">
        <v>300</v>
      </c>
      <c r="F20" s="5">
        <f>G20*5</f>
        <v>3.5</v>
      </c>
      <c r="G20" s="54">
        <v>0.7</v>
      </c>
      <c r="H20" s="111" t="s">
        <v>343</v>
      </c>
      <c r="I20" s="5">
        <v>1.3</v>
      </c>
      <c r="J20" s="115">
        <f>I20/750*1000</f>
        <v>1.7333333333333334</v>
      </c>
      <c r="K20" s="111" t="s">
        <v>375</v>
      </c>
      <c r="L20" s="5">
        <v>4.24</v>
      </c>
      <c r="M20" s="115">
        <f>L20/5</f>
        <v>0.8480000000000001</v>
      </c>
      <c r="N20" s="9"/>
      <c r="P20" s="111"/>
      <c r="Q20" s="116">
        <v>20</v>
      </c>
      <c r="R20" s="137"/>
      <c r="S20" s="138">
        <f t="shared" si="0"/>
        <v>12</v>
      </c>
      <c r="T20" s="138">
        <f t="shared" si="4"/>
        <v>14</v>
      </c>
      <c r="U20" s="139">
        <f t="shared" si="2"/>
        <v>34.66666666666667</v>
      </c>
      <c r="V20" s="140">
        <f t="shared" si="3"/>
        <v>16.96</v>
      </c>
    </row>
    <row r="21" spans="1:22" s="28" customFormat="1" ht="38.25">
      <c r="A21" s="109" t="s">
        <v>189</v>
      </c>
      <c r="B21" s="111" t="s">
        <v>268</v>
      </c>
      <c r="C21" s="6">
        <v>0.95</v>
      </c>
      <c r="D21" s="54">
        <f>C21/750*1000</f>
        <v>1.2666666666666666</v>
      </c>
      <c r="E21" s="111" t="s">
        <v>301</v>
      </c>
      <c r="F21" s="5">
        <v>0.85</v>
      </c>
      <c r="G21" s="54">
        <f>F21/750*1000</f>
        <v>1.1333333333333333</v>
      </c>
      <c r="H21" s="111" t="s">
        <v>344</v>
      </c>
      <c r="I21" s="5">
        <v>1.3</v>
      </c>
      <c r="J21" s="115">
        <f>I21/750*1000</f>
        <v>1.7333333333333334</v>
      </c>
      <c r="K21" s="111" t="s">
        <v>376</v>
      </c>
      <c r="L21" s="5">
        <v>1.12</v>
      </c>
      <c r="M21" s="115">
        <f>L21/750*1000</f>
        <v>1.4933333333333334</v>
      </c>
      <c r="N21" s="9"/>
      <c r="P21" s="111"/>
      <c r="Q21" s="116">
        <v>12</v>
      </c>
      <c r="R21" s="137"/>
      <c r="S21" s="138">
        <f t="shared" si="0"/>
        <v>15.2</v>
      </c>
      <c r="T21" s="138">
        <f t="shared" si="4"/>
        <v>13.6</v>
      </c>
      <c r="U21" s="139">
        <f t="shared" si="2"/>
        <v>20.8</v>
      </c>
      <c r="V21" s="140">
        <f t="shared" si="3"/>
        <v>17.92</v>
      </c>
    </row>
    <row r="22" spans="1:22" s="28" customFormat="1" ht="31.5">
      <c r="A22" s="109" t="s">
        <v>58</v>
      </c>
      <c r="B22" s="111" t="s">
        <v>269</v>
      </c>
      <c r="C22" s="6">
        <v>1.23</v>
      </c>
      <c r="D22" s="54">
        <f>C22/750*1000</f>
        <v>1.64</v>
      </c>
      <c r="E22" s="111" t="s">
        <v>302</v>
      </c>
      <c r="F22" s="5">
        <v>0.95</v>
      </c>
      <c r="G22" s="54">
        <f>F22/500*1000</f>
        <v>1.9</v>
      </c>
      <c r="H22" s="111" t="s">
        <v>345</v>
      </c>
      <c r="I22" s="5">
        <v>0.92</v>
      </c>
      <c r="J22" s="54">
        <f>I22/1</f>
        <v>0.92</v>
      </c>
      <c r="K22" s="111" t="s">
        <v>377</v>
      </c>
      <c r="L22" s="5">
        <v>0.93</v>
      </c>
      <c r="M22" s="54">
        <f>L22/500*1000</f>
        <v>1.86</v>
      </c>
      <c r="N22" s="9"/>
      <c r="P22" s="111"/>
      <c r="Q22" s="116"/>
      <c r="R22" s="137"/>
      <c r="S22" s="138">
        <f t="shared" si="0"/>
        <v>0</v>
      </c>
      <c r="T22" s="138">
        <f t="shared" si="4"/>
        <v>0</v>
      </c>
      <c r="U22" s="139">
        <f t="shared" si="2"/>
        <v>0</v>
      </c>
      <c r="V22" s="140">
        <f t="shared" si="3"/>
        <v>0</v>
      </c>
    </row>
    <row r="23" spans="1:22" s="28" customFormat="1" ht="29.25" customHeight="1">
      <c r="A23" s="109" t="s">
        <v>190</v>
      </c>
      <c r="B23" s="111" t="s">
        <v>270</v>
      </c>
      <c r="C23" s="6">
        <v>1.45</v>
      </c>
      <c r="D23" s="54">
        <f>C23/1</f>
        <v>1.45</v>
      </c>
      <c r="E23" s="111" t="s">
        <v>303</v>
      </c>
      <c r="F23" s="5">
        <v>1.26</v>
      </c>
      <c r="G23" s="54">
        <f>F23/750*1000</f>
        <v>1.6800000000000002</v>
      </c>
      <c r="H23" s="111" t="s">
        <v>270</v>
      </c>
      <c r="I23" s="5">
        <v>1.32</v>
      </c>
      <c r="J23" s="54">
        <f>I23/1</f>
        <v>1.32</v>
      </c>
      <c r="K23" s="111" t="s">
        <v>378</v>
      </c>
      <c r="L23" s="5">
        <v>1.36</v>
      </c>
      <c r="M23" s="54">
        <f>L23/1</f>
        <v>1.36</v>
      </c>
      <c r="N23" s="9"/>
      <c r="P23" s="111"/>
      <c r="Q23" s="116"/>
      <c r="R23" s="137"/>
      <c r="S23" s="138">
        <f t="shared" si="0"/>
        <v>0</v>
      </c>
      <c r="T23" s="138">
        <f t="shared" si="4"/>
        <v>0</v>
      </c>
      <c r="U23" s="139">
        <f t="shared" si="2"/>
        <v>0</v>
      </c>
      <c r="V23" s="140">
        <f t="shared" si="3"/>
        <v>0</v>
      </c>
    </row>
    <row r="24" spans="1:22" s="28" customFormat="1" ht="38.25">
      <c r="A24" s="109" t="s">
        <v>191</v>
      </c>
      <c r="B24" s="111" t="s">
        <v>271</v>
      </c>
      <c r="C24" s="6">
        <v>0.31</v>
      </c>
      <c r="D24" s="54">
        <f>C24/1</f>
        <v>0.31</v>
      </c>
      <c r="E24" s="111" t="s">
        <v>304</v>
      </c>
      <c r="F24" s="5">
        <v>0.33</v>
      </c>
      <c r="G24" s="54">
        <f>F24/1</f>
        <v>0.33</v>
      </c>
      <c r="H24" s="111" t="s">
        <v>346</v>
      </c>
      <c r="I24" s="5">
        <v>0.4</v>
      </c>
      <c r="J24" s="54">
        <f>I24/1</f>
        <v>0.4</v>
      </c>
      <c r="K24" s="111" t="s">
        <v>379</v>
      </c>
      <c r="L24" s="5">
        <v>0.49</v>
      </c>
      <c r="M24" s="54">
        <f>L24/1</f>
        <v>0.49</v>
      </c>
      <c r="N24" s="9"/>
      <c r="P24" s="111"/>
      <c r="Q24" s="116">
        <v>36</v>
      </c>
      <c r="R24" s="137"/>
      <c r="S24" s="138">
        <f t="shared" si="0"/>
        <v>11.16</v>
      </c>
      <c r="T24" s="138">
        <f t="shared" si="4"/>
        <v>11.88</v>
      </c>
      <c r="U24" s="139">
        <f t="shared" si="2"/>
        <v>14.4</v>
      </c>
      <c r="V24" s="140">
        <f t="shared" si="3"/>
        <v>17.64</v>
      </c>
    </row>
    <row r="25" spans="1:22" s="28" customFormat="1" ht="25.5">
      <c r="A25" s="109" t="s">
        <v>192</v>
      </c>
      <c r="B25" s="111" t="s">
        <v>272</v>
      </c>
      <c r="C25" s="6">
        <v>0.68</v>
      </c>
      <c r="D25" s="115">
        <f>C25/2</f>
        <v>0.34</v>
      </c>
      <c r="E25" s="111" t="s">
        <v>305</v>
      </c>
      <c r="F25" s="5">
        <v>1.4</v>
      </c>
      <c r="G25" s="54">
        <f>F25/4</f>
        <v>0.35</v>
      </c>
      <c r="H25" s="111" t="s">
        <v>347</v>
      </c>
      <c r="I25" s="5">
        <v>0.64</v>
      </c>
      <c r="J25" s="54">
        <f>I25/2</f>
        <v>0.32</v>
      </c>
      <c r="K25" s="111" t="s">
        <v>380</v>
      </c>
      <c r="L25" s="5">
        <v>0.67</v>
      </c>
      <c r="M25" s="54">
        <f>L25/2</f>
        <v>0.335</v>
      </c>
      <c r="N25" s="9"/>
      <c r="P25" s="111"/>
      <c r="Q25" s="116">
        <v>80</v>
      </c>
      <c r="R25" s="137"/>
      <c r="S25" s="138">
        <f t="shared" si="0"/>
        <v>27.200000000000003</v>
      </c>
      <c r="T25" s="138">
        <f t="shared" si="4"/>
        <v>28</v>
      </c>
      <c r="U25" s="139">
        <f t="shared" si="2"/>
        <v>25.6</v>
      </c>
      <c r="V25" s="140">
        <f t="shared" si="3"/>
        <v>26.8</v>
      </c>
    </row>
    <row r="26" spans="1:22" s="28" customFormat="1" ht="30.75" customHeight="1">
      <c r="A26" s="109" t="s">
        <v>193</v>
      </c>
      <c r="B26" s="116" t="s">
        <v>273</v>
      </c>
      <c r="C26" s="6">
        <f>D26*5</f>
        <v>18.25</v>
      </c>
      <c r="D26" s="54">
        <v>3.65</v>
      </c>
      <c r="E26" s="113" t="s">
        <v>306</v>
      </c>
      <c r="F26" s="5">
        <v>7.5</v>
      </c>
      <c r="G26" s="54">
        <f>F26/5</f>
        <v>1.5</v>
      </c>
      <c r="H26" s="113" t="s">
        <v>348</v>
      </c>
      <c r="I26" s="5">
        <v>1.82</v>
      </c>
      <c r="J26" s="54">
        <f>I26/4</f>
        <v>0.455</v>
      </c>
      <c r="K26" s="111" t="s">
        <v>379</v>
      </c>
      <c r="L26" s="5">
        <v>6.95</v>
      </c>
      <c r="M26" s="54">
        <f>L26/1</f>
        <v>6.95</v>
      </c>
      <c r="N26" s="9"/>
      <c r="P26" s="111"/>
      <c r="Q26" s="116"/>
      <c r="R26" s="137"/>
      <c r="S26" s="138">
        <f t="shared" si="0"/>
        <v>0</v>
      </c>
      <c r="T26" s="138">
        <f t="shared" si="4"/>
        <v>0</v>
      </c>
      <c r="U26" s="139">
        <f t="shared" si="2"/>
        <v>0</v>
      </c>
      <c r="V26" s="140">
        <f t="shared" si="3"/>
        <v>0</v>
      </c>
    </row>
    <row r="27" spans="1:22" s="28" customFormat="1" ht="38.25" customHeight="1">
      <c r="A27" s="227" t="s">
        <v>194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9"/>
      <c r="P27" s="111"/>
      <c r="Q27" s="116"/>
      <c r="R27" s="137"/>
      <c r="S27" s="138">
        <f t="shared" si="0"/>
        <v>0</v>
      </c>
      <c r="T27" s="138">
        <f t="shared" si="4"/>
        <v>0</v>
      </c>
      <c r="U27" s="139">
        <f t="shared" si="2"/>
        <v>0</v>
      </c>
      <c r="V27" s="140">
        <f t="shared" si="3"/>
        <v>0</v>
      </c>
    </row>
    <row r="28" spans="1:22" s="28" customFormat="1" ht="31.5">
      <c r="A28" s="109" t="s">
        <v>195</v>
      </c>
      <c r="B28" s="111" t="s">
        <v>274</v>
      </c>
      <c r="C28" s="6">
        <v>2.85</v>
      </c>
      <c r="D28" s="54">
        <f>C28/5</f>
        <v>0.5700000000000001</v>
      </c>
      <c r="E28" s="113" t="s">
        <v>307</v>
      </c>
      <c r="F28" s="5">
        <v>1.8</v>
      </c>
      <c r="G28" s="54">
        <f>F28/4</f>
        <v>0.45</v>
      </c>
      <c r="H28" s="113" t="s">
        <v>349</v>
      </c>
      <c r="I28" s="5">
        <v>2.9</v>
      </c>
      <c r="J28" s="54">
        <f>I28/5</f>
        <v>0.58</v>
      </c>
      <c r="K28" s="111" t="s">
        <v>375</v>
      </c>
      <c r="L28" s="61">
        <v>3.46</v>
      </c>
      <c r="M28" s="115">
        <f>L28/5</f>
        <v>0.692</v>
      </c>
      <c r="N28" s="9"/>
      <c r="P28" s="111"/>
      <c r="Q28" s="116">
        <v>60</v>
      </c>
      <c r="R28" s="137"/>
      <c r="S28" s="138">
        <f t="shared" si="0"/>
        <v>34.2</v>
      </c>
      <c r="T28" s="138">
        <f t="shared" si="4"/>
        <v>27</v>
      </c>
      <c r="U28" s="139">
        <f t="shared" si="2"/>
        <v>34.8</v>
      </c>
      <c r="V28" s="140">
        <f t="shared" si="3"/>
        <v>41.519999999999996</v>
      </c>
    </row>
    <row r="29" spans="1:22" s="28" customFormat="1" ht="31.5">
      <c r="A29" s="109" t="s">
        <v>196</v>
      </c>
      <c r="B29" s="111" t="s">
        <v>275</v>
      </c>
      <c r="C29" s="6">
        <v>5.03</v>
      </c>
      <c r="D29" s="54">
        <f>C29/5</f>
        <v>1.006</v>
      </c>
      <c r="E29" s="111" t="s">
        <v>308</v>
      </c>
      <c r="F29" s="5">
        <v>4</v>
      </c>
      <c r="G29" s="54">
        <f>F29/5</f>
        <v>0.8</v>
      </c>
      <c r="H29" s="111" t="s">
        <v>350</v>
      </c>
      <c r="I29" s="5">
        <v>4.45</v>
      </c>
      <c r="J29" s="54">
        <f>I29/5</f>
        <v>0.89</v>
      </c>
      <c r="K29" s="111" t="s">
        <v>381</v>
      </c>
      <c r="L29" s="6">
        <v>8.48</v>
      </c>
      <c r="M29" s="115">
        <f>L29/5</f>
        <v>1.6960000000000002</v>
      </c>
      <c r="N29" s="9"/>
      <c r="P29" s="111"/>
      <c r="Q29" s="116"/>
      <c r="R29" s="137"/>
      <c r="S29" s="138">
        <f t="shared" si="0"/>
        <v>0</v>
      </c>
      <c r="T29" s="138">
        <f t="shared" si="4"/>
        <v>0</v>
      </c>
      <c r="U29" s="139">
        <f t="shared" si="2"/>
        <v>0</v>
      </c>
      <c r="V29" s="140">
        <f t="shared" si="3"/>
        <v>0</v>
      </c>
    </row>
    <row r="30" spans="1:22" s="28" customFormat="1" ht="47.25">
      <c r="A30" s="109" t="s">
        <v>197</v>
      </c>
      <c r="B30" s="111" t="s">
        <v>276</v>
      </c>
      <c r="C30" s="6">
        <v>1.7</v>
      </c>
      <c r="D30" s="54">
        <f>C30/750*1000</f>
        <v>2.2666666666666666</v>
      </c>
      <c r="E30" s="111" t="s">
        <v>309</v>
      </c>
      <c r="F30" s="5">
        <v>1.2</v>
      </c>
      <c r="G30" s="54">
        <f>F30/750*1000</f>
        <v>1.5999999999999999</v>
      </c>
      <c r="H30" s="111" t="s">
        <v>351</v>
      </c>
      <c r="I30" s="5">
        <v>1.09</v>
      </c>
      <c r="J30" s="54">
        <f>I30/750*1000</f>
        <v>1.4533333333333334</v>
      </c>
      <c r="K30" s="111" t="s">
        <v>376</v>
      </c>
      <c r="L30" s="6">
        <v>1.33</v>
      </c>
      <c r="M30" s="54">
        <f>L30/750*1000</f>
        <v>1.7733333333333334</v>
      </c>
      <c r="N30" s="29"/>
      <c r="P30" s="111"/>
      <c r="Q30" s="116">
        <v>18</v>
      </c>
      <c r="R30" s="137"/>
      <c r="S30" s="138">
        <f t="shared" si="0"/>
        <v>40.8</v>
      </c>
      <c r="T30" s="138">
        <f t="shared" si="4"/>
        <v>28.799999999999997</v>
      </c>
      <c r="U30" s="139">
        <f t="shared" si="2"/>
        <v>26.16</v>
      </c>
      <c r="V30" s="140">
        <f t="shared" si="3"/>
        <v>31.92</v>
      </c>
    </row>
    <row r="31" spans="1:22" s="28" customFormat="1" ht="31.5">
      <c r="A31" s="109" t="s">
        <v>198</v>
      </c>
      <c r="B31" s="111" t="s">
        <v>277</v>
      </c>
      <c r="C31" s="7">
        <v>1.03</v>
      </c>
      <c r="D31" s="54">
        <f>C31/750*1000</f>
        <v>1.3733333333333333</v>
      </c>
      <c r="E31" s="111" t="s">
        <v>310</v>
      </c>
      <c r="F31" s="5">
        <v>1.2</v>
      </c>
      <c r="G31" s="54">
        <f>F31/750*1000</f>
        <v>1.5999999999999999</v>
      </c>
      <c r="H31" s="111" t="s">
        <v>352</v>
      </c>
      <c r="I31" s="5">
        <v>0.95</v>
      </c>
      <c r="J31" s="54">
        <f>I31/750*1000</f>
        <v>1.2666666666666666</v>
      </c>
      <c r="K31" s="111" t="s">
        <v>376</v>
      </c>
      <c r="L31" s="5">
        <v>0.89</v>
      </c>
      <c r="M31" s="54">
        <f>L31/750*1000</f>
        <v>1.1866666666666665</v>
      </c>
      <c r="N31" s="29"/>
      <c r="P31" s="116"/>
      <c r="Q31" s="116"/>
      <c r="R31" s="137"/>
      <c r="S31" s="138">
        <f t="shared" si="0"/>
        <v>0</v>
      </c>
      <c r="T31" s="138">
        <f t="shared" si="4"/>
        <v>0</v>
      </c>
      <c r="U31" s="139">
        <f t="shared" si="2"/>
        <v>0</v>
      </c>
      <c r="V31" s="140">
        <f t="shared" si="3"/>
        <v>0</v>
      </c>
    </row>
    <row r="32" spans="1:22" s="28" customFormat="1" ht="31.5">
      <c r="A32" s="109" t="s">
        <v>255</v>
      </c>
      <c r="B32" s="111" t="s">
        <v>278</v>
      </c>
      <c r="C32" s="7">
        <v>3.68</v>
      </c>
      <c r="D32" s="117">
        <f>C32/5</f>
        <v>0.736</v>
      </c>
      <c r="E32" s="111" t="s">
        <v>311</v>
      </c>
      <c r="F32" s="5">
        <v>4.5</v>
      </c>
      <c r="G32" s="54">
        <f>F32/5</f>
        <v>0.9</v>
      </c>
      <c r="H32" s="111" t="s">
        <v>353</v>
      </c>
      <c r="I32" s="5">
        <v>3.15</v>
      </c>
      <c r="J32" s="54">
        <f>I32/5</f>
        <v>0.63</v>
      </c>
      <c r="K32" s="111" t="s">
        <v>381</v>
      </c>
      <c r="L32" s="6">
        <v>3.78</v>
      </c>
      <c r="M32" s="115">
        <f>L32/5</f>
        <v>0.756</v>
      </c>
      <c r="P32" s="111"/>
      <c r="Q32" s="116">
        <v>20</v>
      </c>
      <c r="R32" s="137"/>
      <c r="S32" s="138">
        <f t="shared" si="0"/>
        <v>14.719999999999999</v>
      </c>
      <c r="T32" s="138">
        <f t="shared" si="4"/>
        <v>18</v>
      </c>
      <c r="U32" s="139">
        <f t="shared" si="2"/>
        <v>12.6</v>
      </c>
      <c r="V32" s="140">
        <f t="shared" si="3"/>
        <v>15.120000000000001</v>
      </c>
    </row>
    <row r="33" spans="1:22" s="28" customFormat="1" ht="38.25">
      <c r="A33" s="109" t="s">
        <v>199</v>
      </c>
      <c r="B33" s="111" t="s">
        <v>279</v>
      </c>
      <c r="C33" s="7">
        <v>6.95</v>
      </c>
      <c r="D33" s="117">
        <f>C33/5</f>
        <v>1.3900000000000001</v>
      </c>
      <c r="E33" s="111" t="s">
        <v>312</v>
      </c>
      <c r="F33" s="5">
        <v>7.5</v>
      </c>
      <c r="G33" s="54">
        <f>F33/5</f>
        <v>1.5</v>
      </c>
      <c r="H33" s="111" t="s">
        <v>354</v>
      </c>
      <c r="I33" s="5">
        <v>3</v>
      </c>
      <c r="J33" s="54">
        <f>I33/4</f>
        <v>0.75</v>
      </c>
      <c r="K33" s="111" t="s">
        <v>375</v>
      </c>
      <c r="L33" s="61">
        <v>8.48</v>
      </c>
      <c r="M33" s="115">
        <f>L33/5</f>
        <v>1.6960000000000002</v>
      </c>
      <c r="P33" s="140"/>
      <c r="Q33" s="116"/>
      <c r="R33" s="137"/>
      <c r="S33" s="138">
        <f t="shared" si="0"/>
        <v>0</v>
      </c>
      <c r="T33" s="138">
        <f t="shared" si="4"/>
        <v>0</v>
      </c>
      <c r="U33" s="139">
        <f t="shared" si="2"/>
        <v>0</v>
      </c>
      <c r="V33" s="140">
        <f t="shared" si="3"/>
        <v>0</v>
      </c>
    </row>
    <row r="34" spans="1:22" s="28" customFormat="1" ht="38.25">
      <c r="A34" s="109" t="s">
        <v>200</v>
      </c>
      <c r="B34" s="111" t="s">
        <v>280</v>
      </c>
      <c r="C34" s="7">
        <v>1.73</v>
      </c>
      <c r="D34" s="118">
        <f>C34/750*1000</f>
        <v>2.3066666666666666</v>
      </c>
      <c r="E34" s="111" t="s">
        <v>313</v>
      </c>
      <c r="F34" s="5">
        <v>2.2</v>
      </c>
      <c r="G34" s="54">
        <f>F34/300*1000</f>
        <v>7.333333333333334</v>
      </c>
      <c r="H34" s="111" t="s">
        <v>355</v>
      </c>
      <c r="I34" s="5">
        <v>1.1</v>
      </c>
      <c r="J34" s="54">
        <f>I34/300*1000</f>
        <v>3.666666666666667</v>
      </c>
      <c r="K34" s="111" t="s">
        <v>382</v>
      </c>
      <c r="L34" s="5">
        <v>4.92</v>
      </c>
      <c r="M34" s="115">
        <f>L34/750*1000</f>
        <v>6.56</v>
      </c>
      <c r="P34" s="140"/>
      <c r="Q34" s="116"/>
      <c r="R34" s="137"/>
      <c r="S34" s="138">
        <f t="shared" si="0"/>
        <v>0</v>
      </c>
      <c r="T34" s="138">
        <f t="shared" si="4"/>
        <v>0</v>
      </c>
      <c r="U34" s="139">
        <f t="shared" si="2"/>
        <v>0</v>
      </c>
      <c r="V34" s="140">
        <f t="shared" si="3"/>
        <v>0</v>
      </c>
    </row>
    <row r="35" spans="1:22" s="28" customFormat="1" ht="15.75">
      <c r="A35" s="227" t="s">
        <v>201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P35" s="116"/>
      <c r="Q35" s="116"/>
      <c r="R35" s="137"/>
      <c r="S35" s="138">
        <f t="shared" si="0"/>
        <v>0</v>
      </c>
      <c r="T35" s="138">
        <f t="shared" si="4"/>
        <v>0</v>
      </c>
      <c r="U35" s="139">
        <f t="shared" si="2"/>
        <v>0</v>
      </c>
      <c r="V35" s="140">
        <f t="shared" si="3"/>
        <v>0</v>
      </c>
    </row>
    <row r="36" spans="1:22" s="28" customFormat="1" ht="25.5">
      <c r="A36" s="109" t="s">
        <v>202</v>
      </c>
      <c r="B36" s="111" t="s">
        <v>281</v>
      </c>
      <c r="C36" s="7">
        <v>2.99</v>
      </c>
      <c r="D36" s="117">
        <f>C36/5</f>
        <v>0.5980000000000001</v>
      </c>
      <c r="E36" s="111" t="s">
        <v>314</v>
      </c>
      <c r="F36" s="5">
        <f>G36*4</f>
        <v>1.84</v>
      </c>
      <c r="G36" s="54">
        <v>0.46</v>
      </c>
      <c r="H36" s="111" t="s">
        <v>356</v>
      </c>
      <c r="I36" s="5">
        <v>2.6</v>
      </c>
      <c r="J36" s="54">
        <f>I36/5</f>
        <v>0.52</v>
      </c>
      <c r="K36" s="111" t="s">
        <v>375</v>
      </c>
      <c r="L36" s="61">
        <v>3.1</v>
      </c>
      <c r="M36" s="115">
        <f>L36/5</f>
        <v>0.62</v>
      </c>
      <c r="P36" s="140"/>
      <c r="Q36" s="116">
        <v>20</v>
      </c>
      <c r="R36" s="137"/>
      <c r="S36" s="138">
        <f t="shared" si="0"/>
        <v>11.96</v>
      </c>
      <c r="T36" s="138">
        <f t="shared" si="4"/>
        <v>9.200000000000001</v>
      </c>
      <c r="U36" s="139">
        <f t="shared" si="2"/>
        <v>10.4</v>
      </c>
      <c r="V36" s="140">
        <f t="shared" si="3"/>
        <v>12.4</v>
      </c>
    </row>
    <row r="37" spans="1:22" s="28" customFormat="1" ht="31.5">
      <c r="A37" s="109" t="s">
        <v>256</v>
      </c>
      <c r="B37" s="111" t="s">
        <v>282</v>
      </c>
      <c r="C37" s="7">
        <v>18.1</v>
      </c>
      <c r="D37" s="117">
        <f>C37/12</f>
        <v>1.5083333333333335</v>
      </c>
      <c r="E37" s="116" t="s">
        <v>315</v>
      </c>
      <c r="F37" s="5">
        <v>12</v>
      </c>
      <c r="G37" s="54">
        <f>F37/12</f>
        <v>1</v>
      </c>
      <c r="H37" s="111" t="s">
        <v>357</v>
      </c>
      <c r="I37" s="5">
        <v>12.5</v>
      </c>
      <c r="J37" s="54">
        <f>I37/12</f>
        <v>1.0416666666666667</v>
      </c>
      <c r="K37" s="111" t="s">
        <v>381</v>
      </c>
      <c r="L37" s="6">
        <v>6.3</v>
      </c>
      <c r="M37" s="115">
        <f>L37/5</f>
        <v>1.26</v>
      </c>
      <c r="P37" s="140"/>
      <c r="Q37" s="116">
        <v>48</v>
      </c>
      <c r="R37" s="137"/>
      <c r="S37" s="138">
        <f t="shared" si="0"/>
        <v>72.4</v>
      </c>
      <c r="T37" s="138">
        <f t="shared" si="4"/>
        <v>48</v>
      </c>
      <c r="U37" s="139">
        <f t="shared" si="2"/>
        <v>50</v>
      </c>
      <c r="V37" s="140">
        <f t="shared" si="3"/>
        <v>60.480000000000004</v>
      </c>
    </row>
    <row r="38" spans="1:22" s="28" customFormat="1" ht="31.5">
      <c r="A38" s="109" t="s">
        <v>257</v>
      </c>
      <c r="B38" s="111" t="s">
        <v>283</v>
      </c>
      <c r="C38" s="7">
        <v>14.1</v>
      </c>
      <c r="D38" s="117">
        <f>C38/10</f>
        <v>1.41</v>
      </c>
      <c r="E38" s="116" t="s">
        <v>316</v>
      </c>
      <c r="F38" s="5">
        <v>13</v>
      </c>
      <c r="G38" s="54">
        <f>F38/10</f>
        <v>1.3</v>
      </c>
      <c r="H38" s="111" t="s">
        <v>358</v>
      </c>
      <c r="I38" s="5">
        <v>13.8</v>
      </c>
      <c r="J38" s="54">
        <f>I38/12</f>
        <v>1.1500000000000001</v>
      </c>
      <c r="K38" s="111" t="s">
        <v>381</v>
      </c>
      <c r="L38" s="6">
        <v>5.25</v>
      </c>
      <c r="M38" s="115">
        <f>L38/5</f>
        <v>1.05</v>
      </c>
      <c r="P38" s="116"/>
      <c r="Q38" s="116">
        <v>24</v>
      </c>
      <c r="R38" s="137"/>
      <c r="S38" s="138">
        <f t="shared" si="0"/>
        <v>33.839999999999996</v>
      </c>
      <c r="T38" s="138">
        <f t="shared" si="4"/>
        <v>31.200000000000003</v>
      </c>
      <c r="U38" s="139">
        <f t="shared" si="2"/>
        <v>27.6</v>
      </c>
      <c r="V38" s="140">
        <f t="shared" si="3"/>
        <v>25.200000000000003</v>
      </c>
    </row>
    <row r="39" spans="1:22" s="28" customFormat="1" ht="30.75" customHeight="1">
      <c r="A39" s="109" t="s">
        <v>203</v>
      </c>
      <c r="B39" s="111" t="s">
        <v>284</v>
      </c>
      <c r="C39" s="7">
        <v>2.15</v>
      </c>
      <c r="D39" s="117">
        <f>C39/750*1000</f>
        <v>2.8666666666666667</v>
      </c>
      <c r="E39" s="111" t="s">
        <v>317</v>
      </c>
      <c r="F39" s="5">
        <v>1.5</v>
      </c>
      <c r="G39" s="54">
        <f>F39/500*1000</f>
        <v>3</v>
      </c>
      <c r="H39" s="129" t="s">
        <v>359</v>
      </c>
      <c r="I39" s="5">
        <v>1.89</v>
      </c>
      <c r="J39" s="54">
        <f>I39/1</f>
        <v>1.89</v>
      </c>
      <c r="K39" s="111" t="s">
        <v>383</v>
      </c>
      <c r="L39" s="5">
        <v>0.89</v>
      </c>
      <c r="M39" s="115">
        <f>L39/750*1000</f>
        <v>1.1866666666666665</v>
      </c>
      <c r="P39" s="140"/>
      <c r="Q39" s="116">
        <v>9</v>
      </c>
      <c r="R39" s="137"/>
      <c r="S39" s="138">
        <f aca="true" t="shared" si="5" ref="S39:S70">Q39*D39</f>
        <v>25.8</v>
      </c>
      <c r="T39" s="138">
        <f t="shared" si="4"/>
        <v>27</v>
      </c>
      <c r="U39" s="139">
        <f aca="true" t="shared" si="6" ref="U39:U70">Q39*J39</f>
        <v>17.009999999999998</v>
      </c>
      <c r="V39" s="140">
        <f aca="true" t="shared" si="7" ref="V39:V70">Q39*M39</f>
        <v>10.68</v>
      </c>
    </row>
    <row r="40" spans="1:22" s="28" customFormat="1" ht="38.25">
      <c r="A40" s="109" t="s">
        <v>204</v>
      </c>
      <c r="B40" s="111" t="s">
        <v>285</v>
      </c>
      <c r="C40" s="7">
        <v>4.25</v>
      </c>
      <c r="D40" s="117">
        <f>C40/4</f>
        <v>1.0625</v>
      </c>
      <c r="E40" s="111" t="s">
        <v>318</v>
      </c>
      <c r="F40" s="5">
        <v>5</v>
      </c>
      <c r="G40" s="54">
        <f>F40/5</f>
        <v>1</v>
      </c>
      <c r="H40" s="111" t="s">
        <v>360</v>
      </c>
      <c r="I40" s="5">
        <v>2.39</v>
      </c>
      <c r="J40" s="54">
        <f>I40/4</f>
        <v>0.5975</v>
      </c>
      <c r="K40" s="111" t="s">
        <v>384</v>
      </c>
      <c r="L40" s="5">
        <v>3.39</v>
      </c>
      <c r="M40" s="54">
        <f>L40/3</f>
        <v>1.1300000000000001</v>
      </c>
      <c r="P40" s="140"/>
      <c r="Q40" s="116"/>
      <c r="R40" s="137"/>
      <c r="S40" s="138">
        <f t="shared" si="5"/>
        <v>0</v>
      </c>
      <c r="T40" s="138">
        <f t="shared" si="4"/>
        <v>0</v>
      </c>
      <c r="U40" s="139">
        <f t="shared" si="6"/>
        <v>0</v>
      </c>
      <c r="V40" s="140">
        <f t="shared" si="7"/>
        <v>0</v>
      </c>
    </row>
    <row r="41" spans="1:22" s="28" customFormat="1" ht="25.5">
      <c r="A41" s="109" t="s">
        <v>258</v>
      </c>
      <c r="B41" s="111" t="s">
        <v>286</v>
      </c>
      <c r="C41" s="7">
        <f>D41*20</f>
        <v>25</v>
      </c>
      <c r="D41" s="117">
        <v>1.25</v>
      </c>
      <c r="E41" s="111" t="s">
        <v>319</v>
      </c>
      <c r="F41" s="5">
        <f>G41*5.538</f>
        <v>8.030100000000001</v>
      </c>
      <c r="G41" s="54">
        <v>1.45</v>
      </c>
      <c r="H41" s="129" t="s">
        <v>361</v>
      </c>
      <c r="I41" s="5">
        <v>0.79</v>
      </c>
      <c r="J41" s="54">
        <f>I41/1</f>
        <v>0.79</v>
      </c>
      <c r="K41" s="113" t="s">
        <v>385</v>
      </c>
      <c r="L41" s="5">
        <v>10.65</v>
      </c>
      <c r="M41" s="54">
        <f>L41/8</f>
        <v>1.33125</v>
      </c>
      <c r="P41" s="140"/>
      <c r="Q41" s="116"/>
      <c r="R41" s="137"/>
      <c r="S41" s="138">
        <f t="shared" si="5"/>
        <v>0</v>
      </c>
      <c r="T41" s="138">
        <f t="shared" si="4"/>
        <v>0</v>
      </c>
      <c r="U41" s="139">
        <f t="shared" si="6"/>
        <v>0</v>
      </c>
      <c r="V41" s="140">
        <f t="shared" si="7"/>
        <v>0</v>
      </c>
    </row>
    <row r="42" spans="1:22" s="28" customFormat="1" ht="38.25">
      <c r="A42" s="109" t="s">
        <v>205</v>
      </c>
      <c r="B42" s="111" t="s">
        <v>287</v>
      </c>
      <c r="C42" s="7">
        <f>D42*5.1</f>
        <v>6.119999999999999</v>
      </c>
      <c r="D42" s="117">
        <v>1.2</v>
      </c>
      <c r="E42" s="111" t="s">
        <v>320</v>
      </c>
      <c r="F42" s="5">
        <v>1</v>
      </c>
      <c r="G42" s="54">
        <f>F42/600*1000</f>
        <v>1.6666666666666667</v>
      </c>
      <c r="H42" s="111" t="s">
        <v>362</v>
      </c>
      <c r="I42" s="5">
        <v>1.99</v>
      </c>
      <c r="J42" s="54">
        <f>I42/1</f>
        <v>1.99</v>
      </c>
      <c r="K42" s="111" t="s">
        <v>386</v>
      </c>
      <c r="L42" s="5">
        <v>0.56</v>
      </c>
      <c r="M42" s="54">
        <f>L42/260*1000</f>
        <v>2.153846153846154</v>
      </c>
      <c r="P42" s="140"/>
      <c r="Q42" s="116"/>
      <c r="R42" s="137"/>
      <c r="S42" s="138">
        <f t="shared" si="5"/>
        <v>0</v>
      </c>
      <c r="T42" s="138">
        <f t="shared" si="4"/>
        <v>0</v>
      </c>
      <c r="U42" s="139">
        <f t="shared" si="6"/>
        <v>0</v>
      </c>
      <c r="V42" s="140">
        <f t="shared" si="7"/>
        <v>0</v>
      </c>
    </row>
    <row r="43" spans="1:22" s="28" customFormat="1" ht="15.75">
      <c r="A43" s="227" t="s">
        <v>206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P43" s="140"/>
      <c r="Q43" s="116"/>
      <c r="R43" s="137"/>
      <c r="S43" s="138">
        <f t="shared" si="5"/>
        <v>0</v>
      </c>
      <c r="T43" s="138">
        <f t="shared" si="4"/>
        <v>0</v>
      </c>
      <c r="U43" s="139">
        <f t="shared" si="6"/>
        <v>0</v>
      </c>
      <c r="V43" s="140">
        <f t="shared" si="7"/>
        <v>0</v>
      </c>
    </row>
    <row r="44" spans="1:22" s="28" customFormat="1" ht="15.75">
      <c r="A44" s="109" t="s">
        <v>61</v>
      </c>
      <c r="B44" s="111" t="s">
        <v>33</v>
      </c>
      <c r="C44" s="7">
        <v>0.49</v>
      </c>
      <c r="D44" s="117">
        <f>C44/1</f>
        <v>0.49</v>
      </c>
      <c r="E44" s="124" t="s">
        <v>322</v>
      </c>
      <c r="F44" s="125">
        <v>0.55</v>
      </c>
      <c r="G44" s="126">
        <f>F44/1</f>
        <v>0.55</v>
      </c>
      <c r="H44" s="124" t="s">
        <v>33</v>
      </c>
      <c r="I44" s="125">
        <v>0.55</v>
      </c>
      <c r="J44" s="126">
        <f>I44/1</f>
        <v>0.55</v>
      </c>
      <c r="K44" s="124" t="s">
        <v>387</v>
      </c>
      <c r="L44" s="125">
        <v>0.42</v>
      </c>
      <c r="M44" s="126">
        <f>L44/1</f>
        <v>0.42</v>
      </c>
      <c r="P44" s="140"/>
      <c r="Q44" s="116"/>
      <c r="R44" s="137"/>
      <c r="S44" s="138">
        <f t="shared" si="5"/>
        <v>0</v>
      </c>
      <c r="T44" s="138">
        <f t="shared" si="4"/>
        <v>0</v>
      </c>
      <c r="U44" s="139">
        <f t="shared" si="6"/>
        <v>0</v>
      </c>
      <c r="V44" s="140">
        <f t="shared" si="7"/>
        <v>0</v>
      </c>
    </row>
    <row r="45" spans="1:22" s="28" customFormat="1" ht="15.75">
      <c r="A45" s="109" t="s">
        <v>207</v>
      </c>
      <c r="B45" s="111" t="s">
        <v>288</v>
      </c>
      <c r="C45" s="7">
        <v>2.98</v>
      </c>
      <c r="D45" s="117">
        <f>C45/100</f>
        <v>0.0298</v>
      </c>
      <c r="E45" s="116" t="s">
        <v>323</v>
      </c>
      <c r="F45" s="5">
        <v>4</v>
      </c>
      <c r="G45" s="54">
        <f>F45/100</f>
        <v>0.04</v>
      </c>
      <c r="H45" s="116" t="s">
        <v>288</v>
      </c>
      <c r="I45" s="5">
        <v>4.4</v>
      </c>
      <c r="J45" s="54">
        <f>I45/100</f>
        <v>0.044000000000000004</v>
      </c>
      <c r="K45" s="116" t="s">
        <v>388</v>
      </c>
      <c r="L45" s="5">
        <v>3.77</v>
      </c>
      <c r="M45" s="115">
        <f>L45/100</f>
        <v>0.0377</v>
      </c>
      <c r="P45" s="133"/>
      <c r="Q45" s="116">
        <v>1000</v>
      </c>
      <c r="R45" s="137"/>
      <c r="S45" s="138">
        <f t="shared" si="5"/>
        <v>29.8</v>
      </c>
      <c r="T45" s="138">
        <f t="shared" si="4"/>
        <v>40</v>
      </c>
      <c r="U45" s="141">
        <f t="shared" si="6"/>
        <v>44.00000000000001</v>
      </c>
      <c r="V45" s="140">
        <f t="shared" si="7"/>
        <v>37.699999999999996</v>
      </c>
    </row>
    <row r="46" spans="1:22" s="28" customFormat="1" ht="15.75">
      <c r="A46" s="109" t="s">
        <v>208</v>
      </c>
      <c r="B46" s="111" t="s">
        <v>93</v>
      </c>
      <c r="C46" s="7">
        <v>0.35</v>
      </c>
      <c r="D46" s="117">
        <f>C46/3</f>
        <v>0.11666666666666665</v>
      </c>
      <c r="E46" s="116" t="s">
        <v>93</v>
      </c>
      <c r="F46" s="54">
        <f>G46*3</f>
        <v>0.5549999999999999</v>
      </c>
      <c r="G46" s="54">
        <v>0.185</v>
      </c>
      <c r="H46" s="116" t="s">
        <v>93</v>
      </c>
      <c r="I46" s="54">
        <v>0.49</v>
      </c>
      <c r="J46" s="54">
        <f>I46/3</f>
        <v>0.16333333333333333</v>
      </c>
      <c r="K46" s="116" t="s">
        <v>93</v>
      </c>
      <c r="L46" s="54">
        <v>0.6</v>
      </c>
      <c r="M46" s="54">
        <f>L46/3</f>
        <v>0.19999999999999998</v>
      </c>
      <c r="P46" s="140"/>
      <c r="Q46" s="116">
        <v>3</v>
      </c>
      <c r="R46" s="137"/>
      <c r="S46" s="138">
        <f t="shared" si="5"/>
        <v>0.35</v>
      </c>
      <c r="T46" s="138">
        <f t="shared" si="4"/>
        <v>0.5549999999999999</v>
      </c>
      <c r="U46" s="139">
        <f t="shared" si="6"/>
        <v>0.49</v>
      </c>
      <c r="V46" s="140">
        <f t="shared" si="7"/>
        <v>0.6</v>
      </c>
    </row>
    <row r="47" spans="1:22" s="28" customFormat="1" ht="15.75">
      <c r="A47" s="109" t="s">
        <v>209</v>
      </c>
      <c r="B47" s="111" t="s">
        <v>93</v>
      </c>
      <c r="C47" s="7">
        <v>0.8</v>
      </c>
      <c r="D47" s="117">
        <f>C47/3</f>
        <v>0.26666666666666666</v>
      </c>
      <c r="E47" s="104" t="s">
        <v>93</v>
      </c>
      <c r="F47" s="54">
        <f>G47*3</f>
        <v>0.5700000000000001</v>
      </c>
      <c r="G47" s="54">
        <v>0.19</v>
      </c>
      <c r="H47" s="104" t="s">
        <v>35</v>
      </c>
      <c r="I47" s="54">
        <v>1.3</v>
      </c>
      <c r="J47" s="54">
        <f>I47/5</f>
        <v>0.26</v>
      </c>
      <c r="K47" s="104" t="s">
        <v>36</v>
      </c>
      <c r="L47" s="54">
        <v>2.9</v>
      </c>
      <c r="M47" s="54">
        <f>L47/10</f>
        <v>0.29</v>
      </c>
      <c r="P47" s="140"/>
      <c r="Q47" s="116"/>
      <c r="R47" s="137"/>
      <c r="S47" s="138">
        <f t="shared" si="5"/>
        <v>0</v>
      </c>
      <c r="T47" s="138">
        <f t="shared" si="4"/>
        <v>0</v>
      </c>
      <c r="U47" s="139">
        <f t="shared" si="6"/>
        <v>0</v>
      </c>
      <c r="V47" s="140">
        <f t="shared" si="7"/>
        <v>0</v>
      </c>
    </row>
    <row r="48" spans="1:22" s="28" customFormat="1" ht="31.5">
      <c r="A48" s="109" t="s">
        <v>210</v>
      </c>
      <c r="B48" s="111" t="s">
        <v>36</v>
      </c>
      <c r="C48" s="7">
        <v>4.5</v>
      </c>
      <c r="D48" s="117">
        <f>C48/10</f>
        <v>0.45</v>
      </c>
      <c r="E48" s="116" t="s">
        <v>324</v>
      </c>
      <c r="F48" s="54">
        <f>G48*4</f>
        <v>3.2</v>
      </c>
      <c r="G48" s="54">
        <v>0.8</v>
      </c>
      <c r="H48" s="116" t="s">
        <v>363</v>
      </c>
      <c r="I48" s="54">
        <v>0.99</v>
      </c>
      <c r="J48" s="54">
        <f>I48/2</f>
        <v>0.495</v>
      </c>
      <c r="K48" s="104" t="s">
        <v>36</v>
      </c>
      <c r="L48" s="54">
        <v>5.7</v>
      </c>
      <c r="M48" s="54">
        <f>L48/10</f>
        <v>0.5700000000000001</v>
      </c>
      <c r="P48" s="111"/>
      <c r="Q48" s="116"/>
      <c r="R48" s="137"/>
      <c r="S48" s="138">
        <f t="shared" si="5"/>
        <v>0</v>
      </c>
      <c r="T48" s="138">
        <f t="shared" si="4"/>
        <v>0</v>
      </c>
      <c r="U48" s="139">
        <f t="shared" si="6"/>
        <v>0</v>
      </c>
      <c r="V48" s="140">
        <f t="shared" si="7"/>
        <v>0</v>
      </c>
    </row>
    <row r="49" spans="1:22" s="28" customFormat="1" ht="15.75">
      <c r="A49" s="109" t="s">
        <v>211</v>
      </c>
      <c r="B49" s="111" t="s">
        <v>38</v>
      </c>
      <c r="C49" s="7">
        <v>0.4</v>
      </c>
      <c r="D49" s="117">
        <f>C49/1</f>
        <v>0.4</v>
      </c>
      <c r="E49" s="111" t="s">
        <v>152</v>
      </c>
      <c r="F49" s="54">
        <f>G49*2</f>
        <v>0.574</v>
      </c>
      <c r="G49" s="54">
        <v>0.287</v>
      </c>
      <c r="H49" s="111" t="s">
        <v>38</v>
      </c>
      <c r="I49" s="54">
        <v>0.55</v>
      </c>
      <c r="J49" s="54">
        <f>I49/1</f>
        <v>0.55</v>
      </c>
      <c r="K49" s="104" t="s">
        <v>37</v>
      </c>
      <c r="L49" s="54">
        <v>8.75</v>
      </c>
      <c r="M49" s="54">
        <f>L49/25</f>
        <v>0.35</v>
      </c>
      <c r="P49" s="140"/>
      <c r="Q49" s="116"/>
      <c r="R49" s="137"/>
      <c r="S49" s="138">
        <f t="shared" si="5"/>
        <v>0</v>
      </c>
      <c r="T49" s="138">
        <f t="shared" si="4"/>
        <v>0</v>
      </c>
      <c r="U49" s="139">
        <f t="shared" si="6"/>
        <v>0</v>
      </c>
      <c r="V49" s="140">
        <f t="shared" si="7"/>
        <v>0</v>
      </c>
    </row>
    <row r="50" spans="1:22" ht="15.75">
      <c r="A50" s="109" t="s">
        <v>212</v>
      </c>
      <c r="B50" s="111" t="s">
        <v>288</v>
      </c>
      <c r="C50" s="30">
        <v>2.95</v>
      </c>
      <c r="D50" s="119">
        <f>C50/100</f>
        <v>0.029500000000000002</v>
      </c>
      <c r="E50" s="116" t="s">
        <v>325</v>
      </c>
      <c r="F50" s="5">
        <v>2.8</v>
      </c>
      <c r="G50" s="54">
        <f>F50/100</f>
        <v>0.027999999999999997</v>
      </c>
      <c r="H50" s="116" t="s">
        <v>288</v>
      </c>
      <c r="I50" s="5">
        <v>3.7</v>
      </c>
      <c r="J50" s="54">
        <f>I50/100</f>
        <v>0.037000000000000005</v>
      </c>
      <c r="K50" s="104" t="s">
        <v>36</v>
      </c>
      <c r="L50" s="54">
        <v>11.3</v>
      </c>
      <c r="M50" s="54">
        <f>L50/10</f>
        <v>1.1300000000000001</v>
      </c>
      <c r="P50" s="140"/>
      <c r="Q50" s="140"/>
      <c r="R50" s="137"/>
      <c r="S50" s="138">
        <f t="shared" si="5"/>
        <v>0</v>
      </c>
      <c r="T50" s="138">
        <f t="shared" si="4"/>
        <v>0</v>
      </c>
      <c r="U50" s="139">
        <f t="shared" si="6"/>
        <v>0</v>
      </c>
      <c r="V50" s="140">
        <f t="shared" si="7"/>
        <v>0</v>
      </c>
    </row>
    <row r="51" spans="1:22" ht="25.5">
      <c r="A51" s="109" t="s">
        <v>12</v>
      </c>
      <c r="B51" s="111" t="s">
        <v>38</v>
      </c>
      <c r="C51" s="5">
        <v>0.98</v>
      </c>
      <c r="D51" s="117">
        <f>C51/1</f>
        <v>0.98</v>
      </c>
      <c r="E51" s="116" t="s">
        <v>38</v>
      </c>
      <c r="F51" s="5">
        <v>1.6</v>
      </c>
      <c r="G51" s="54">
        <f>F51/1</f>
        <v>1.6</v>
      </c>
      <c r="H51" s="116" t="s">
        <v>38</v>
      </c>
      <c r="I51" s="5">
        <v>0.9</v>
      </c>
      <c r="J51" s="54">
        <f aca="true" t="shared" si="8" ref="J51:J85">I51/1</f>
        <v>0.9</v>
      </c>
      <c r="K51" s="104" t="s">
        <v>389</v>
      </c>
      <c r="L51" s="54">
        <v>10.77</v>
      </c>
      <c r="M51" s="54">
        <f>L51/100</f>
        <v>0.10769999999999999</v>
      </c>
      <c r="P51" s="140"/>
      <c r="Q51" s="140"/>
      <c r="R51" s="137"/>
      <c r="S51" s="138">
        <f t="shared" si="5"/>
        <v>0</v>
      </c>
      <c r="T51" s="138">
        <f t="shared" si="4"/>
        <v>0</v>
      </c>
      <c r="U51" s="139">
        <f t="shared" si="6"/>
        <v>0</v>
      </c>
      <c r="V51" s="140">
        <f t="shared" si="7"/>
        <v>0</v>
      </c>
    </row>
    <row r="52" spans="1:22" ht="15.75">
      <c r="A52" s="109" t="s">
        <v>213</v>
      </c>
      <c r="B52" s="111" t="s">
        <v>36</v>
      </c>
      <c r="C52" s="30">
        <v>7.55</v>
      </c>
      <c r="D52" s="117">
        <f>C52/10</f>
        <v>0.755</v>
      </c>
      <c r="E52" s="111" t="s">
        <v>93</v>
      </c>
      <c r="F52" s="5">
        <v>2.4</v>
      </c>
      <c r="G52" s="54">
        <f>F52/3</f>
        <v>0.7999999999999999</v>
      </c>
      <c r="H52" s="111" t="s">
        <v>38</v>
      </c>
      <c r="I52" s="5">
        <v>0.65</v>
      </c>
      <c r="J52" s="54">
        <f t="shared" si="8"/>
        <v>0.65</v>
      </c>
      <c r="K52" s="104" t="s">
        <v>36</v>
      </c>
      <c r="L52" s="54">
        <v>6.8</v>
      </c>
      <c r="M52" s="54">
        <f>L52/10</f>
        <v>0.6799999999999999</v>
      </c>
      <c r="P52" s="140"/>
      <c r="Q52" s="140"/>
      <c r="R52" s="137"/>
      <c r="S52" s="138">
        <f t="shared" si="5"/>
        <v>0</v>
      </c>
      <c r="T52" s="138">
        <f t="shared" si="4"/>
        <v>0</v>
      </c>
      <c r="U52" s="139">
        <f t="shared" si="6"/>
        <v>0</v>
      </c>
      <c r="V52" s="140">
        <f t="shared" si="7"/>
        <v>0</v>
      </c>
    </row>
    <row r="53" spans="1:22" ht="15.75">
      <c r="A53" s="109" t="s">
        <v>214</v>
      </c>
      <c r="B53" s="111" t="s">
        <v>38</v>
      </c>
      <c r="C53" s="30">
        <v>0.39</v>
      </c>
      <c r="D53" s="117">
        <f aca="true" t="shared" si="9" ref="D53:D85">C53/1</f>
        <v>0.39</v>
      </c>
      <c r="E53" s="111" t="s">
        <v>37</v>
      </c>
      <c r="F53" s="30">
        <f>G53*25</f>
        <v>21.25</v>
      </c>
      <c r="G53" s="54">
        <v>0.85</v>
      </c>
      <c r="H53" s="111" t="s">
        <v>38</v>
      </c>
      <c r="I53" s="30">
        <v>0.69</v>
      </c>
      <c r="J53" s="54">
        <f t="shared" si="8"/>
        <v>0.69</v>
      </c>
      <c r="K53" s="104" t="s">
        <v>37</v>
      </c>
      <c r="L53" s="54">
        <v>12.25</v>
      </c>
      <c r="M53" s="54">
        <f>L53/25</f>
        <v>0.49</v>
      </c>
      <c r="P53" s="140"/>
      <c r="Q53" s="140"/>
      <c r="R53" s="137"/>
      <c r="S53" s="138">
        <f t="shared" si="5"/>
        <v>0</v>
      </c>
      <c r="T53" s="138">
        <f t="shared" si="4"/>
        <v>0</v>
      </c>
      <c r="U53" s="139">
        <f t="shared" si="6"/>
        <v>0</v>
      </c>
      <c r="V53" s="140">
        <f t="shared" si="7"/>
        <v>0</v>
      </c>
    </row>
    <row r="54" spans="1:22" ht="15.75">
      <c r="A54" s="109" t="s">
        <v>215</v>
      </c>
      <c r="B54" s="111" t="s">
        <v>38</v>
      </c>
      <c r="C54" s="30">
        <v>0.47</v>
      </c>
      <c r="D54" s="117">
        <f t="shared" si="9"/>
        <v>0.47</v>
      </c>
      <c r="E54" s="111" t="s">
        <v>37</v>
      </c>
      <c r="F54" s="5">
        <f>G54*25</f>
        <v>24.5</v>
      </c>
      <c r="G54" s="54">
        <v>0.98</v>
      </c>
      <c r="H54" s="111" t="s">
        <v>38</v>
      </c>
      <c r="I54" s="5">
        <v>0.9</v>
      </c>
      <c r="J54" s="54">
        <f t="shared" si="8"/>
        <v>0.9</v>
      </c>
      <c r="K54" s="104" t="s">
        <v>37</v>
      </c>
      <c r="L54" s="54">
        <v>26.75</v>
      </c>
      <c r="M54" s="54">
        <f>L54/25</f>
        <v>1.07</v>
      </c>
      <c r="P54" s="111"/>
      <c r="Q54" s="116"/>
      <c r="R54" s="137"/>
      <c r="S54" s="138">
        <f t="shared" si="5"/>
        <v>0</v>
      </c>
      <c r="T54" s="138">
        <f t="shared" si="4"/>
        <v>0</v>
      </c>
      <c r="U54" s="139">
        <f t="shared" si="6"/>
        <v>0</v>
      </c>
      <c r="V54" s="140">
        <f t="shared" si="7"/>
        <v>0</v>
      </c>
    </row>
    <row r="55" spans="1:22" ht="15.75">
      <c r="A55" s="109" t="s">
        <v>216</v>
      </c>
      <c r="B55" s="111" t="s">
        <v>38</v>
      </c>
      <c r="C55" s="30">
        <v>0.73</v>
      </c>
      <c r="D55" s="117">
        <f t="shared" si="9"/>
        <v>0.73</v>
      </c>
      <c r="E55" s="111" t="s">
        <v>298</v>
      </c>
      <c r="F55" s="30" t="s">
        <v>326</v>
      </c>
      <c r="G55" s="54" t="s">
        <v>326</v>
      </c>
      <c r="H55" s="111" t="s">
        <v>38</v>
      </c>
      <c r="I55" s="30">
        <v>1.25</v>
      </c>
      <c r="J55" s="54">
        <f t="shared" si="8"/>
        <v>1.25</v>
      </c>
      <c r="K55" s="104" t="s">
        <v>37</v>
      </c>
      <c r="L55" s="54">
        <v>22.75</v>
      </c>
      <c r="M55" s="54">
        <f>L55/25</f>
        <v>0.91</v>
      </c>
      <c r="P55" s="140"/>
      <c r="Q55" s="140"/>
      <c r="R55" s="137"/>
      <c r="S55" s="138">
        <f t="shared" si="5"/>
        <v>0</v>
      </c>
      <c r="T55" s="138"/>
      <c r="U55" s="139">
        <f t="shared" si="6"/>
        <v>0</v>
      </c>
      <c r="V55" s="140">
        <f t="shared" si="7"/>
        <v>0</v>
      </c>
    </row>
    <row r="56" spans="1:22" ht="15.75">
      <c r="A56" s="109" t="s">
        <v>63</v>
      </c>
      <c r="B56" s="111" t="s">
        <v>38</v>
      </c>
      <c r="C56" s="30">
        <v>0.99</v>
      </c>
      <c r="D56" s="117">
        <f t="shared" si="9"/>
        <v>0.99</v>
      </c>
      <c r="E56" s="111" t="s">
        <v>328</v>
      </c>
      <c r="F56" s="5">
        <v>12</v>
      </c>
      <c r="G56" s="54">
        <f>F56/12</f>
        <v>1</v>
      </c>
      <c r="H56" s="111" t="s">
        <v>38</v>
      </c>
      <c r="I56" s="5">
        <v>1.05</v>
      </c>
      <c r="J56" s="54">
        <f t="shared" si="8"/>
        <v>1.05</v>
      </c>
      <c r="K56" s="104" t="s">
        <v>327</v>
      </c>
      <c r="L56" s="54">
        <v>10.92</v>
      </c>
      <c r="M56" s="54">
        <f>L56/12</f>
        <v>0.91</v>
      </c>
      <c r="P56" s="116"/>
      <c r="Q56" s="116"/>
      <c r="R56" s="137"/>
      <c r="S56" s="138">
        <f t="shared" si="5"/>
        <v>0</v>
      </c>
      <c r="T56" s="138">
        <f aca="true" t="shared" si="10" ref="T56:T94">Q56*G56</f>
        <v>0</v>
      </c>
      <c r="U56" s="139">
        <f t="shared" si="6"/>
        <v>0</v>
      </c>
      <c r="V56" s="140">
        <f t="shared" si="7"/>
        <v>0</v>
      </c>
    </row>
    <row r="57" spans="1:22" ht="15.75">
      <c r="A57" s="109" t="s">
        <v>64</v>
      </c>
      <c r="B57" s="111" t="s">
        <v>38</v>
      </c>
      <c r="C57" s="30">
        <v>0.95</v>
      </c>
      <c r="D57" s="117">
        <f t="shared" si="9"/>
        <v>0.95</v>
      </c>
      <c r="E57" s="111" t="s">
        <v>328</v>
      </c>
      <c r="F57" s="5">
        <v>12</v>
      </c>
      <c r="G57" s="54">
        <f>F57/12</f>
        <v>1</v>
      </c>
      <c r="H57" s="111" t="s">
        <v>38</v>
      </c>
      <c r="I57" s="5">
        <v>1.15</v>
      </c>
      <c r="J57" s="54">
        <f t="shared" si="8"/>
        <v>1.15</v>
      </c>
      <c r="K57" s="104" t="s">
        <v>327</v>
      </c>
      <c r="L57" s="54">
        <v>10.08</v>
      </c>
      <c r="M57" s="54">
        <f>L57/12</f>
        <v>0.84</v>
      </c>
      <c r="P57" s="140"/>
      <c r="Q57" s="140"/>
      <c r="R57" s="137"/>
      <c r="S57" s="138">
        <f t="shared" si="5"/>
        <v>0</v>
      </c>
      <c r="T57" s="138">
        <f t="shared" si="10"/>
        <v>0</v>
      </c>
      <c r="U57" s="139">
        <f t="shared" si="6"/>
        <v>0</v>
      </c>
      <c r="V57" s="140">
        <f t="shared" si="7"/>
        <v>0</v>
      </c>
    </row>
    <row r="58" spans="1:22" ht="15.75">
      <c r="A58" s="109" t="s">
        <v>65</v>
      </c>
      <c r="B58" s="111" t="s">
        <v>38</v>
      </c>
      <c r="C58" s="30">
        <v>1.16</v>
      </c>
      <c r="D58" s="117">
        <f t="shared" si="9"/>
        <v>1.16</v>
      </c>
      <c r="E58" s="111" t="s">
        <v>328</v>
      </c>
      <c r="F58" s="5">
        <v>12</v>
      </c>
      <c r="G58" s="54">
        <f>F58/12</f>
        <v>1</v>
      </c>
      <c r="H58" s="111" t="s">
        <v>38</v>
      </c>
      <c r="I58" s="5">
        <v>1.59</v>
      </c>
      <c r="J58" s="54">
        <f t="shared" si="8"/>
        <v>1.59</v>
      </c>
      <c r="K58" s="104" t="s">
        <v>327</v>
      </c>
      <c r="L58" s="54">
        <v>12.96</v>
      </c>
      <c r="M58" s="54">
        <f>L58/12</f>
        <v>1.08</v>
      </c>
      <c r="P58" s="140"/>
      <c r="Q58" s="140"/>
      <c r="R58" s="137"/>
      <c r="S58" s="138">
        <f t="shared" si="5"/>
        <v>0</v>
      </c>
      <c r="T58" s="138">
        <f t="shared" si="10"/>
        <v>0</v>
      </c>
      <c r="U58" s="139">
        <f t="shared" si="6"/>
        <v>0</v>
      </c>
      <c r="V58" s="140">
        <f t="shared" si="7"/>
        <v>0</v>
      </c>
    </row>
    <row r="59" spans="1:22" ht="15.75">
      <c r="A59" s="109" t="s">
        <v>66</v>
      </c>
      <c r="B59" s="111" t="s">
        <v>38</v>
      </c>
      <c r="C59" s="30">
        <v>3.91</v>
      </c>
      <c r="D59" s="117">
        <f t="shared" si="9"/>
        <v>3.91</v>
      </c>
      <c r="E59" s="111" t="s">
        <v>36</v>
      </c>
      <c r="F59" s="5">
        <v>43</v>
      </c>
      <c r="G59" s="54">
        <f>F59/10</f>
        <v>4.3</v>
      </c>
      <c r="H59" s="111" t="s">
        <v>38</v>
      </c>
      <c r="I59" s="5">
        <v>3.9</v>
      </c>
      <c r="J59" s="54">
        <f t="shared" si="8"/>
        <v>3.9</v>
      </c>
      <c r="K59" s="111" t="s">
        <v>38</v>
      </c>
      <c r="L59" s="5">
        <v>3.76</v>
      </c>
      <c r="M59" s="54">
        <f aca="true" t="shared" si="11" ref="M59:M85">L59/1</f>
        <v>3.76</v>
      </c>
      <c r="P59" s="116"/>
      <c r="Q59" s="116"/>
      <c r="R59" s="137"/>
      <c r="S59" s="138">
        <f t="shared" si="5"/>
        <v>0</v>
      </c>
      <c r="T59" s="138">
        <f t="shared" si="10"/>
        <v>0</v>
      </c>
      <c r="U59" s="139">
        <f t="shared" si="6"/>
        <v>0</v>
      </c>
      <c r="V59" s="140">
        <f t="shared" si="7"/>
        <v>0</v>
      </c>
    </row>
    <row r="60" spans="1:22" ht="15.75">
      <c r="A60" s="109" t="s">
        <v>217</v>
      </c>
      <c r="B60" s="111" t="s">
        <v>38</v>
      </c>
      <c r="C60" s="30">
        <v>0.82</v>
      </c>
      <c r="D60" s="117">
        <f t="shared" si="9"/>
        <v>0.82</v>
      </c>
      <c r="E60" s="111" t="s">
        <v>329</v>
      </c>
      <c r="F60" s="5">
        <v>0.8</v>
      </c>
      <c r="G60" s="54">
        <f>F60/1</f>
        <v>0.8</v>
      </c>
      <c r="H60" s="111" t="s">
        <v>364</v>
      </c>
      <c r="I60" s="5">
        <v>0.89</v>
      </c>
      <c r="J60" s="54">
        <f t="shared" si="8"/>
        <v>0.89</v>
      </c>
      <c r="K60" s="111" t="s">
        <v>329</v>
      </c>
      <c r="L60" s="5">
        <v>0.71</v>
      </c>
      <c r="M60" s="54">
        <f t="shared" si="11"/>
        <v>0.71</v>
      </c>
      <c r="P60" s="140"/>
      <c r="Q60" s="140"/>
      <c r="R60" s="137"/>
      <c r="S60" s="138">
        <f t="shared" si="5"/>
        <v>0</v>
      </c>
      <c r="T60" s="138">
        <f t="shared" si="10"/>
        <v>0</v>
      </c>
      <c r="U60" s="139">
        <f t="shared" si="6"/>
        <v>0</v>
      </c>
      <c r="V60" s="140">
        <f t="shared" si="7"/>
        <v>0</v>
      </c>
    </row>
    <row r="61" spans="1:22" ht="15.75">
      <c r="A61" s="109" t="s">
        <v>218</v>
      </c>
      <c r="B61" s="111" t="s">
        <v>38</v>
      </c>
      <c r="C61" s="30">
        <v>4.51</v>
      </c>
      <c r="D61" s="117">
        <f t="shared" si="9"/>
        <v>4.51</v>
      </c>
      <c r="E61" s="111" t="s">
        <v>330</v>
      </c>
      <c r="F61" s="5">
        <v>3.2</v>
      </c>
      <c r="G61" s="54">
        <f>F61/1</f>
        <v>3.2</v>
      </c>
      <c r="H61" s="111" t="s">
        <v>38</v>
      </c>
      <c r="I61" s="5">
        <v>3.99</v>
      </c>
      <c r="J61" s="54">
        <f t="shared" si="8"/>
        <v>3.99</v>
      </c>
      <c r="K61" s="111" t="s">
        <v>38</v>
      </c>
      <c r="L61" s="5">
        <v>3.65</v>
      </c>
      <c r="M61" s="54">
        <f t="shared" si="11"/>
        <v>3.65</v>
      </c>
      <c r="P61" s="140"/>
      <c r="Q61" s="140"/>
      <c r="R61" s="137"/>
      <c r="S61" s="138">
        <f t="shared" si="5"/>
        <v>0</v>
      </c>
      <c r="T61" s="138">
        <f t="shared" si="10"/>
        <v>0</v>
      </c>
      <c r="U61" s="139">
        <f t="shared" si="6"/>
        <v>0</v>
      </c>
      <c r="V61" s="140">
        <f t="shared" si="7"/>
        <v>0</v>
      </c>
    </row>
    <row r="62" spans="1:22" ht="15.75">
      <c r="A62" s="109" t="s">
        <v>219</v>
      </c>
      <c r="B62" s="111" t="s">
        <v>38</v>
      </c>
      <c r="C62" s="30">
        <v>1.1</v>
      </c>
      <c r="D62" s="117">
        <f t="shared" si="9"/>
        <v>1.1</v>
      </c>
      <c r="E62" s="111" t="s">
        <v>327</v>
      </c>
      <c r="F62" s="5">
        <f>G62*12</f>
        <v>14.399999999999999</v>
      </c>
      <c r="G62" s="54">
        <v>1.2</v>
      </c>
      <c r="H62" s="111" t="s">
        <v>38</v>
      </c>
      <c r="I62" s="5">
        <v>1.25</v>
      </c>
      <c r="J62" s="54">
        <f t="shared" si="8"/>
        <v>1.25</v>
      </c>
      <c r="K62" s="111" t="s">
        <v>38</v>
      </c>
      <c r="L62" s="5">
        <v>1.2</v>
      </c>
      <c r="M62" s="54">
        <f t="shared" si="11"/>
        <v>1.2</v>
      </c>
      <c r="P62" s="140"/>
      <c r="Q62" s="140"/>
      <c r="R62" s="137"/>
      <c r="S62" s="138">
        <f t="shared" si="5"/>
        <v>0</v>
      </c>
      <c r="T62" s="138">
        <f t="shared" si="10"/>
        <v>0</v>
      </c>
      <c r="U62" s="139">
        <f t="shared" si="6"/>
        <v>0</v>
      </c>
      <c r="V62" s="140">
        <f t="shared" si="7"/>
        <v>0</v>
      </c>
    </row>
    <row r="63" spans="1:22" ht="15.75">
      <c r="A63" s="109" t="s">
        <v>220</v>
      </c>
      <c r="B63" s="111" t="s">
        <v>38</v>
      </c>
      <c r="C63" s="30">
        <v>11.34</v>
      </c>
      <c r="D63" s="117">
        <f t="shared" si="9"/>
        <v>11.34</v>
      </c>
      <c r="E63" s="111" t="s">
        <v>38</v>
      </c>
      <c r="F63" s="5">
        <v>7.8</v>
      </c>
      <c r="G63" s="54">
        <f>F63/1</f>
        <v>7.8</v>
      </c>
      <c r="H63" s="111" t="s">
        <v>38</v>
      </c>
      <c r="I63" s="5">
        <v>9.22</v>
      </c>
      <c r="J63" s="54">
        <f t="shared" si="8"/>
        <v>9.22</v>
      </c>
      <c r="K63" s="113" t="s">
        <v>38</v>
      </c>
      <c r="L63" s="8">
        <v>8.54</v>
      </c>
      <c r="M63" s="112">
        <f t="shared" si="11"/>
        <v>8.54</v>
      </c>
      <c r="N63" t="s">
        <v>393</v>
      </c>
      <c r="P63" s="140"/>
      <c r="Q63" s="140"/>
      <c r="R63" s="137"/>
      <c r="S63" s="138">
        <f t="shared" si="5"/>
        <v>0</v>
      </c>
      <c r="T63" s="138">
        <f t="shared" si="10"/>
        <v>0</v>
      </c>
      <c r="U63" s="139">
        <f t="shared" si="6"/>
        <v>0</v>
      </c>
      <c r="V63" s="140">
        <f t="shared" si="7"/>
        <v>0</v>
      </c>
    </row>
    <row r="64" spans="1:22" ht="15.75">
      <c r="A64" s="109" t="s">
        <v>221</v>
      </c>
      <c r="B64" s="111" t="s">
        <v>38</v>
      </c>
      <c r="C64" s="30">
        <v>13.33</v>
      </c>
      <c r="D64" s="117">
        <f t="shared" si="9"/>
        <v>13.33</v>
      </c>
      <c r="E64" s="111" t="s">
        <v>38</v>
      </c>
      <c r="F64" s="30">
        <v>8.5</v>
      </c>
      <c r="G64" s="54">
        <f>F64/1</f>
        <v>8.5</v>
      </c>
      <c r="H64" s="111" t="s">
        <v>38</v>
      </c>
      <c r="I64" s="30">
        <v>11.25</v>
      </c>
      <c r="J64" s="54">
        <f t="shared" si="8"/>
        <v>11.25</v>
      </c>
      <c r="K64" s="113" t="s">
        <v>38</v>
      </c>
      <c r="L64" s="8">
        <v>10.18</v>
      </c>
      <c r="M64" s="112">
        <f t="shared" si="11"/>
        <v>10.18</v>
      </c>
      <c r="N64" t="s">
        <v>393</v>
      </c>
      <c r="P64" s="140"/>
      <c r="Q64" s="140"/>
      <c r="R64" s="137"/>
      <c r="S64" s="138">
        <f t="shared" si="5"/>
        <v>0</v>
      </c>
      <c r="T64" s="138">
        <f t="shared" si="10"/>
        <v>0</v>
      </c>
      <c r="U64" s="139">
        <f t="shared" si="6"/>
        <v>0</v>
      </c>
      <c r="V64" s="140">
        <f t="shared" si="7"/>
        <v>0</v>
      </c>
    </row>
    <row r="65" spans="1:22" ht="15.75">
      <c r="A65" s="109" t="s">
        <v>222</v>
      </c>
      <c r="B65" s="111" t="s">
        <v>38</v>
      </c>
      <c r="C65" s="30">
        <v>4.55</v>
      </c>
      <c r="D65" s="117">
        <f t="shared" si="9"/>
        <v>4.55</v>
      </c>
      <c r="E65" s="111" t="s">
        <v>38</v>
      </c>
      <c r="F65" s="30">
        <v>3.8</v>
      </c>
      <c r="G65" s="54">
        <f>F65/1</f>
        <v>3.8</v>
      </c>
      <c r="H65" s="111" t="s">
        <v>38</v>
      </c>
      <c r="I65" s="30">
        <v>2.99</v>
      </c>
      <c r="J65" s="54">
        <f t="shared" si="8"/>
        <v>2.99</v>
      </c>
      <c r="K65" s="113" t="s">
        <v>38</v>
      </c>
      <c r="L65" s="8">
        <v>3.99</v>
      </c>
      <c r="M65" s="112">
        <f t="shared" si="11"/>
        <v>3.99</v>
      </c>
      <c r="P65" s="140"/>
      <c r="Q65" s="140"/>
      <c r="R65" s="137"/>
      <c r="S65" s="138">
        <f t="shared" si="5"/>
        <v>0</v>
      </c>
      <c r="T65" s="138">
        <f t="shared" si="10"/>
        <v>0</v>
      </c>
      <c r="U65" s="139">
        <f t="shared" si="6"/>
        <v>0</v>
      </c>
      <c r="V65" s="140">
        <f t="shared" si="7"/>
        <v>0</v>
      </c>
    </row>
    <row r="66" spans="1:22" ht="15.75">
      <c r="A66" s="109" t="s">
        <v>223</v>
      </c>
      <c r="B66" s="111" t="s">
        <v>38</v>
      </c>
      <c r="C66" s="30">
        <v>5.9</v>
      </c>
      <c r="D66" s="117">
        <f t="shared" si="9"/>
        <v>5.9</v>
      </c>
      <c r="E66" s="111" t="s">
        <v>38</v>
      </c>
      <c r="F66" s="30">
        <v>4.2</v>
      </c>
      <c r="G66" s="54">
        <f>F66/1</f>
        <v>4.2</v>
      </c>
      <c r="H66" s="111" t="s">
        <v>38</v>
      </c>
      <c r="I66" s="30">
        <v>4.38</v>
      </c>
      <c r="J66" s="54">
        <f t="shared" si="8"/>
        <v>4.38</v>
      </c>
      <c r="K66" s="111" t="s">
        <v>38</v>
      </c>
      <c r="L66" s="5">
        <v>5.12</v>
      </c>
      <c r="M66" s="54">
        <f t="shared" si="11"/>
        <v>5.12</v>
      </c>
      <c r="P66" s="140"/>
      <c r="Q66" s="140"/>
      <c r="R66" s="137"/>
      <c r="S66" s="138">
        <f t="shared" si="5"/>
        <v>0</v>
      </c>
      <c r="T66" s="138">
        <f t="shared" si="10"/>
        <v>0</v>
      </c>
      <c r="U66" s="139">
        <f t="shared" si="6"/>
        <v>0</v>
      </c>
      <c r="V66" s="140">
        <f t="shared" si="7"/>
        <v>0</v>
      </c>
    </row>
    <row r="67" spans="1:22" ht="15.75">
      <c r="A67" s="109" t="s">
        <v>224</v>
      </c>
      <c r="B67" s="111" t="s">
        <v>38</v>
      </c>
      <c r="C67" s="30">
        <v>0.97</v>
      </c>
      <c r="D67" s="117">
        <f t="shared" si="9"/>
        <v>0.97</v>
      </c>
      <c r="E67" s="111" t="s">
        <v>327</v>
      </c>
      <c r="F67" s="30">
        <v>12</v>
      </c>
      <c r="G67" s="54">
        <f>F67/12</f>
        <v>1</v>
      </c>
      <c r="H67" s="111" t="s">
        <v>38</v>
      </c>
      <c r="I67" s="30">
        <v>0.85</v>
      </c>
      <c r="J67" s="54">
        <f t="shared" si="8"/>
        <v>0.85</v>
      </c>
      <c r="K67" s="111" t="s">
        <v>390</v>
      </c>
      <c r="L67" s="5">
        <v>0.67</v>
      </c>
      <c r="M67" s="54">
        <f t="shared" si="11"/>
        <v>0.67</v>
      </c>
      <c r="P67" s="140"/>
      <c r="Q67" s="140"/>
      <c r="R67" s="137"/>
      <c r="S67" s="138">
        <f t="shared" si="5"/>
        <v>0</v>
      </c>
      <c r="T67" s="138">
        <f t="shared" si="10"/>
        <v>0</v>
      </c>
      <c r="U67" s="139">
        <f t="shared" si="6"/>
        <v>0</v>
      </c>
      <c r="V67" s="140">
        <f t="shared" si="7"/>
        <v>0</v>
      </c>
    </row>
    <row r="68" spans="1:22" ht="15.75">
      <c r="A68" s="109" t="s">
        <v>225</v>
      </c>
      <c r="B68" s="111" t="s">
        <v>38</v>
      </c>
      <c r="C68" s="120">
        <v>3.41</v>
      </c>
      <c r="D68" s="54">
        <f t="shared" si="9"/>
        <v>3.41</v>
      </c>
      <c r="E68" s="111" t="s">
        <v>38</v>
      </c>
      <c r="F68" s="30">
        <v>1.96</v>
      </c>
      <c r="G68" s="54">
        <f aca="true" t="shared" si="12" ref="G68:G85">F68/1</f>
        <v>1.96</v>
      </c>
      <c r="H68" s="111" t="s">
        <v>38</v>
      </c>
      <c r="I68" s="30">
        <v>2.1</v>
      </c>
      <c r="J68" s="54">
        <f t="shared" si="8"/>
        <v>2.1</v>
      </c>
      <c r="K68" s="111" t="s">
        <v>38</v>
      </c>
      <c r="L68" s="5">
        <v>2.95</v>
      </c>
      <c r="M68" s="54">
        <f t="shared" si="11"/>
        <v>2.95</v>
      </c>
      <c r="P68" s="140"/>
      <c r="Q68" s="140"/>
      <c r="R68" s="137"/>
      <c r="S68" s="138">
        <f t="shared" si="5"/>
        <v>0</v>
      </c>
      <c r="T68" s="138">
        <f t="shared" si="10"/>
        <v>0</v>
      </c>
      <c r="U68" s="139">
        <f t="shared" si="6"/>
        <v>0</v>
      </c>
      <c r="V68" s="140">
        <f t="shared" si="7"/>
        <v>0</v>
      </c>
    </row>
    <row r="69" spans="1:22" ht="15.75">
      <c r="A69" s="109" t="s">
        <v>226</v>
      </c>
      <c r="B69" s="111" t="s">
        <v>38</v>
      </c>
      <c r="C69" s="120">
        <v>2.2</v>
      </c>
      <c r="D69" s="121">
        <f t="shared" si="9"/>
        <v>2.2</v>
      </c>
      <c r="E69" s="111" t="s">
        <v>38</v>
      </c>
      <c r="F69" s="30">
        <v>1.75</v>
      </c>
      <c r="G69" s="30">
        <f t="shared" si="12"/>
        <v>1.75</v>
      </c>
      <c r="H69" s="111" t="s">
        <v>38</v>
      </c>
      <c r="I69" s="30">
        <v>1.95</v>
      </c>
      <c r="J69" s="30">
        <f t="shared" si="8"/>
        <v>1.95</v>
      </c>
      <c r="K69" s="111" t="s">
        <v>38</v>
      </c>
      <c r="L69" s="5">
        <v>1.89</v>
      </c>
      <c r="M69" s="54">
        <f t="shared" si="11"/>
        <v>1.89</v>
      </c>
      <c r="P69" s="140"/>
      <c r="Q69" s="140"/>
      <c r="R69" s="137"/>
      <c r="S69" s="138">
        <f t="shared" si="5"/>
        <v>0</v>
      </c>
      <c r="T69" s="138">
        <f t="shared" si="10"/>
        <v>0</v>
      </c>
      <c r="U69" s="139">
        <f t="shared" si="6"/>
        <v>0</v>
      </c>
      <c r="V69" s="140">
        <f t="shared" si="7"/>
        <v>0</v>
      </c>
    </row>
    <row r="70" spans="1:22" ht="15.75">
      <c r="A70" s="109" t="s">
        <v>227</v>
      </c>
      <c r="B70" s="111" t="s">
        <v>38</v>
      </c>
      <c r="C70" s="120">
        <v>36.4</v>
      </c>
      <c r="D70" s="121">
        <f t="shared" si="9"/>
        <v>36.4</v>
      </c>
      <c r="E70" s="111" t="s">
        <v>38</v>
      </c>
      <c r="F70" s="5">
        <v>29</v>
      </c>
      <c r="G70" s="5">
        <f t="shared" si="12"/>
        <v>29</v>
      </c>
      <c r="H70" s="111" t="s">
        <v>38</v>
      </c>
      <c r="I70" s="5">
        <v>42</v>
      </c>
      <c r="J70" s="5">
        <f t="shared" si="8"/>
        <v>42</v>
      </c>
      <c r="K70" s="111" t="s">
        <v>38</v>
      </c>
      <c r="L70" s="5">
        <v>29.98</v>
      </c>
      <c r="M70" s="54">
        <f t="shared" si="11"/>
        <v>29.98</v>
      </c>
      <c r="P70" s="140"/>
      <c r="Q70" s="140"/>
      <c r="R70" s="137"/>
      <c r="S70" s="138">
        <f t="shared" si="5"/>
        <v>0</v>
      </c>
      <c r="T70" s="138">
        <f t="shared" si="10"/>
        <v>0</v>
      </c>
      <c r="U70" s="139">
        <f t="shared" si="6"/>
        <v>0</v>
      </c>
      <c r="V70" s="140">
        <f t="shared" si="7"/>
        <v>0</v>
      </c>
    </row>
    <row r="71" spans="1:22" ht="15.75">
      <c r="A71" s="109" t="s">
        <v>228</v>
      </c>
      <c r="B71" s="111" t="s">
        <v>38</v>
      </c>
      <c r="C71" s="120">
        <v>74.2</v>
      </c>
      <c r="D71" s="121">
        <f t="shared" si="9"/>
        <v>74.2</v>
      </c>
      <c r="E71" s="111" t="s">
        <v>38</v>
      </c>
      <c r="F71" s="5">
        <v>85</v>
      </c>
      <c r="G71" s="5">
        <f t="shared" si="12"/>
        <v>85</v>
      </c>
      <c r="H71" s="111" t="s">
        <v>38</v>
      </c>
      <c r="I71" s="5">
        <v>68.5</v>
      </c>
      <c r="J71" s="5">
        <f t="shared" si="8"/>
        <v>68.5</v>
      </c>
      <c r="K71" s="111" t="s">
        <v>38</v>
      </c>
      <c r="L71" s="5">
        <v>73.78</v>
      </c>
      <c r="M71" s="54">
        <f t="shared" si="11"/>
        <v>73.78</v>
      </c>
      <c r="P71" s="140"/>
      <c r="Q71" s="140"/>
      <c r="R71" s="137"/>
      <c r="S71" s="138">
        <f aca="true" t="shared" si="13" ref="S71:S98">Q71*D71</f>
        <v>0</v>
      </c>
      <c r="T71" s="138">
        <f t="shared" si="10"/>
        <v>0</v>
      </c>
      <c r="U71" s="139">
        <f aca="true" t="shared" si="14" ref="U71:U98">Q71*J71</f>
        <v>0</v>
      </c>
      <c r="V71" s="140">
        <f aca="true" t="shared" si="15" ref="V71:V98">Q71*M71</f>
        <v>0</v>
      </c>
    </row>
    <row r="72" spans="1:22" ht="15.75">
      <c r="A72" s="109" t="s">
        <v>229</v>
      </c>
      <c r="B72" s="111" t="s">
        <v>38</v>
      </c>
      <c r="C72" s="120">
        <v>1.74</v>
      </c>
      <c r="D72" s="121">
        <f t="shared" si="9"/>
        <v>1.74</v>
      </c>
      <c r="E72" s="111" t="s">
        <v>38</v>
      </c>
      <c r="F72" s="30">
        <v>1.36</v>
      </c>
      <c r="G72" s="5">
        <f t="shared" si="12"/>
        <v>1.36</v>
      </c>
      <c r="H72" s="111" t="s">
        <v>38</v>
      </c>
      <c r="I72" s="30">
        <v>1.35</v>
      </c>
      <c r="J72" s="5">
        <f t="shared" si="8"/>
        <v>1.35</v>
      </c>
      <c r="K72" s="111" t="s">
        <v>38</v>
      </c>
      <c r="L72" s="5">
        <v>1.64</v>
      </c>
      <c r="M72" s="54">
        <f t="shared" si="11"/>
        <v>1.64</v>
      </c>
      <c r="P72" s="140"/>
      <c r="Q72" s="140"/>
      <c r="R72" s="137"/>
      <c r="S72" s="138">
        <f t="shared" si="13"/>
        <v>0</v>
      </c>
      <c r="T72" s="138">
        <f t="shared" si="10"/>
        <v>0</v>
      </c>
      <c r="U72" s="139">
        <f t="shared" si="14"/>
        <v>0</v>
      </c>
      <c r="V72" s="140">
        <f t="shared" si="15"/>
        <v>0</v>
      </c>
    </row>
    <row r="73" spans="1:22" ht="15.75">
      <c r="A73" s="109" t="s">
        <v>230</v>
      </c>
      <c r="B73" s="111" t="s">
        <v>38</v>
      </c>
      <c r="C73" s="120">
        <v>1.74</v>
      </c>
      <c r="D73" s="121">
        <f t="shared" si="9"/>
        <v>1.74</v>
      </c>
      <c r="E73" s="111" t="s">
        <v>38</v>
      </c>
      <c r="F73" s="30">
        <v>1.36</v>
      </c>
      <c r="G73" s="30">
        <f t="shared" si="12"/>
        <v>1.36</v>
      </c>
      <c r="H73" s="111" t="s">
        <v>38</v>
      </c>
      <c r="I73" s="30">
        <v>1.15</v>
      </c>
      <c r="J73" s="30">
        <f t="shared" si="8"/>
        <v>1.15</v>
      </c>
      <c r="K73" s="111" t="s">
        <v>38</v>
      </c>
      <c r="L73" s="5">
        <v>1.41</v>
      </c>
      <c r="M73" s="54">
        <f t="shared" si="11"/>
        <v>1.41</v>
      </c>
      <c r="P73" s="140"/>
      <c r="Q73" s="140"/>
      <c r="R73" s="137"/>
      <c r="S73" s="138">
        <f t="shared" si="13"/>
        <v>0</v>
      </c>
      <c r="T73" s="138">
        <f t="shared" si="10"/>
        <v>0</v>
      </c>
      <c r="U73" s="139">
        <f t="shared" si="14"/>
        <v>0</v>
      </c>
      <c r="V73" s="140">
        <f t="shared" si="15"/>
        <v>0</v>
      </c>
    </row>
    <row r="74" spans="1:22" ht="15.75">
      <c r="A74" s="109" t="s">
        <v>231</v>
      </c>
      <c r="B74" s="111" t="s">
        <v>38</v>
      </c>
      <c r="C74" s="120">
        <v>0.94</v>
      </c>
      <c r="D74" s="121">
        <f t="shared" si="9"/>
        <v>0.94</v>
      </c>
      <c r="E74" s="111" t="s">
        <v>38</v>
      </c>
      <c r="F74" s="5">
        <v>1</v>
      </c>
      <c r="G74" s="54">
        <f t="shared" si="12"/>
        <v>1</v>
      </c>
      <c r="H74" s="111" t="s">
        <v>365</v>
      </c>
      <c r="I74" s="5">
        <v>1.2</v>
      </c>
      <c r="J74" s="54">
        <f t="shared" si="8"/>
        <v>1.2</v>
      </c>
      <c r="K74" s="111" t="s">
        <v>391</v>
      </c>
      <c r="L74" s="5">
        <v>1.15</v>
      </c>
      <c r="M74" s="54">
        <f t="shared" si="11"/>
        <v>1.15</v>
      </c>
      <c r="P74" s="140"/>
      <c r="Q74" s="140"/>
      <c r="R74" s="137"/>
      <c r="S74" s="138">
        <f t="shared" si="13"/>
        <v>0</v>
      </c>
      <c r="T74" s="138">
        <f t="shared" si="10"/>
        <v>0</v>
      </c>
      <c r="U74" s="139">
        <f t="shared" si="14"/>
        <v>0</v>
      </c>
      <c r="V74" s="140">
        <f t="shared" si="15"/>
        <v>0</v>
      </c>
    </row>
    <row r="75" spans="1:22" ht="15.75">
      <c r="A75" s="109" t="s">
        <v>232</v>
      </c>
      <c r="B75" s="111" t="s">
        <v>38</v>
      </c>
      <c r="C75" s="120">
        <v>7.02</v>
      </c>
      <c r="D75" s="121">
        <f t="shared" si="9"/>
        <v>7.02</v>
      </c>
      <c r="E75" s="111" t="s">
        <v>38</v>
      </c>
      <c r="F75" s="5">
        <v>4.3</v>
      </c>
      <c r="G75" s="54">
        <f t="shared" si="12"/>
        <v>4.3</v>
      </c>
      <c r="H75" s="111" t="s">
        <v>38</v>
      </c>
      <c r="I75" s="5">
        <v>2.99</v>
      </c>
      <c r="J75" s="54">
        <f t="shared" si="8"/>
        <v>2.99</v>
      </c>
      <c r="K75" s="111" t="s">
        <v>38</v>
      </c>
      <c r="L75" s="5">
        <v>2.94</v>
      </c>
      <c r="M75" s="54">
        <f t="shared" si="11"/>
        <v>2.94</v>
      </c>
      <c r="P75" s="140"/>
      <c r="Q75" s="140"/>
      <c r="R75" s="137"/>
      <c r="S75" s="138">
        <f t="shared" si="13"/>
        <v>0</v>
      </c>
      <c r="T75" s="138">
        <f t="shared" si="10"/>
        <v>0</v>
      </c>
      <c r="U75" s="139">
        <f t="shared" si="14"/>
        <v>0</v>
      </c>
      <c r="V75" s="140">
        <f t="shared" si="15"/>
        <v>0</v>
      </c>
    </row>
    <row r="76" spans="1:22" ht="15.75">
      <c r="A76" s="109" t="s">
        <v>233</v>
      </c>
      <c r="B76" s="111" t="s">
        <v>38</v>
      </c>
      <c r="C76" s="120">
        <v>1.66</v>
      </c>
      <c r="D76" s="121">
        <f t="shared" si="9"/>
        <v>1.66</v>
      </c>
      <c r="E76" s="111" t="s">
        <v>38</v>
      </c>
      <c r="F76" s="5">
        <v>1.8</v>
      </c>
      <c r="G76" s="54">
        <f t="shared" si="12"/>
        <v>1.8</v>
      </c>
      <c r="H76" s="111" t="s">
        <v>38</v>
      </c>
      <c r="I76" s="5">
        <v>1.89</v>
      </c>
      <c r="J76" s="54">
        <f t="shared" si="8"/>
        <v>1.89</v>
      </c>
      <c r="K76" s="111" t="s">
        <v>38</v>
      </c>
      <c r="L76" s="5">
        <v>1.23</v>
      </c>
      <c r="M76" s="54">
        <f t="shared" si="11"/>
        <v>1.23</v>
      </c>
      <c r="P76" s="140"/>
      <c r="Q76" s="140"/>
      <c r="R76" s="137"/>
      <c r="S76" s="138">
        <f t="shared" si="13"/>
        <v>0</v>
      </c>
      <c r="T76" s="138">
        <f t="shared" si="10"/>
        <v>0</v>
      </c>
      <c r="U76" s="139">
        <f t="shared" si="14"/>
        <v>0</v>
      </c>
      <c r="V76" s="140">
        <f t="shared" si="15"/>
        <v>0</v>
      </c>
    </row>
    <row r="77" spans="1:22" ht="15.75">
      <c r="A77" s="109" t="s">
        <v>234</v>
      </c>
      <c r="B77" s="111" t="s">
        <v>38</v>
      </c>
      <c r="C77" s="120">
        <v>1.95</v>
      </c>
      <c r="D77" s="121">
        <f t="shared" si="9"/>
        <v>1.95</v>
      </c>
      <c r="E77" s="111" t="s">
        <v>38</v>
      </c>
      <c r="F77" s="5">
        <v>3.5</v>
      </c>
      <c r="G77" s="54">
        <f t="shared" si="12"/>
        <v>3.5</v>
      </c>
      <c r="H77" s="111" t="s">
        <v>366</v>
      </c>
      <c r="I77" s="5">
        <v>4.07</v>
      </c>
      <c r="J77" s="54">
        <f t="shared" si="8"/>
        <v>4.07</v>
      </c>
      <c r="K77" s="111" t="s">
        <v>38</v>
      </c>
      <c r="L77" s="5">
        <v>2.23</v>
      </c>
      <c r="M77" s="54">
        <f t="shared" si="11"/>
        <v>2.23</v>
      </c>
      <c r="N77" t="s">
        <v>392</v>
      </c>
      <c r="P77" s="140"/>
      <c r="Q77" s="140"/>
      <c r="R77" s="137"/>
      <c r="S77" s="138">
        <f t="shared" si="13"/>
        <v>0</v>
      </c>
      <c r="T77" s="138">
        <f t="shared" si="10"/>
        <v>0</v>
      </c>
      <c r="U77" s="139">
        <f t="shared" si="14"/>
        <v>0</v>
      </c>
      <c r="V77" s="140">
        <f t="shared" si="15"/>
        <v>0</v>
      </c>
    </row>
    <row r="78" spans="1:22" ht="15.75">
      <c r="A78" s="109" t="s">
        <v>235</v>
      </c>
      <c r="B78" s="111" t="s">
        <v>38</v>
      </c>
      <c r="C78" s="120">
        <v>3.9</v>
      </c>
      <c r="D78" s="121">
        <f t="shared" si="9"/>
        <v>3.9</v>
      </c>
      <c r="E78" s="111" t="s">
        <v>38</v>
      </c>
      <c r="F78" s="5">
        <v>3.9</v>
      </c>
      <c r="G78" s="54">
        <f t="shared" si="12"/>
        <v>3.9</v>
      </c>
      <c r="H78" s="111" t="s">
        <v>38</v>
      </c>
      <c r="I78" s="5">
        <v>1.96</v>
      </c>
      <c r="J78" s="54">
        <f t="shared" si="8"/>
        <v>1.96</v>
      </c>
      <c r="K78" s="111" t="s">
        <v>38</v>
      </c>
      <c r="L78" s="5">
        <v>3.02</v>
      </c>
      <c r="M78" s="54">
        <f t="shared" si="11"/>
        <v>3.02</v>
      </c>
      <c r="P78" s="140"/>
      <c r="Q78" s="140"/>
      <c r="R78" s="137"/>
      <c r="S78" s="138">
        <f t="shared" si="13"/>
        <v>0</v>
      </c>
      <c r="T78" s="138">
        <f t="shared" si="10"/>
        <v>0</v>
      </c>
      <c r="U78" s="139">
        <f t="shared" si="14"/>
        <v>0</v>
      </c>
      <c r="V78" s="140">
        <f t="shared" si="15"/>
        <v>0</v>
      </c>
    </row>
    <row r="79" spans="1:22" ht="25.5">
      <c r="A79" s="109" t="s">
        <v>236</v>
      </c>
      <c r="B79" s="111" t="s">
        <v>289</v>
      </c>
      <c r="C79" s="120">
        <v>15.15</v>
      </c>
      <c r="D79" s="121">
        <f t="shared" si="9"/>
        <v>15.15</v>
      </c>
      <c r="E79" s="111" t="s">
        <v>38</v>
      </c>
      <c r="F79" s="5">
        <v>11</v>
      </c>
      <c r="G79" s="54">
        <f t="shared" si="12"/>
        <v>11</v>
      </c>
      <c r="H79" s="111" t="s">
        <v>38</v>
      </c>
      <c r="I79" s="5">
        <v>2.69</v>
      </c>
      <c r="J79" s="54">
        <f t="shared" si="8"/>
        <v>2.69</v>
      </c>
      <c r="K79" s="111" t="s">
        <v>38</v>
      </c>
      <c r="L79" s="5">
        <v>13.1</v>
      </c>
      <c r="M79" s="54">
        <f t="shared" si="11"/>
        <v>13.1</v>
      </c>
      <c r="P79" s="140"/>
      <c r="Q79" s="140"/>
      <c r="R79" s="137"/>
      <c r="S79" s="138">
        <f t="shared" si="13"/>
        <v>0</v>
      </c>
      <c r="T79" s="138">
        <f t="shared" si="10"/>
        <v>0</v>
      </c>
      <c r="U79" s="139">
        <f t="shared" si="14"/>
        <v>0</v>
      </c>
      <c r="V79" s="140">
        <f t="shared" si="15"/>
        <v>0</v>
      </c>
    </row>
    <row r="80" spans="1:22" ht="15.75">
      <c r="A80" s="109" t="s">
        <v>237</v>
      </c>
      <c r="B80" s="111" t="s">
        <v>38</v>
      </c>
      <c r="C80" s="120">
        <v>1.04</v>
      </c>
      <c r="D80" s="121">
        <f t="shared" si="9"/>
        <v>1.04</v>
      </c>
      <c r="E80" s="111" t="s">
        <v>38</v>
      </c>
      <c r="F80" s="5">
        <v>1.9</v>
      </c>
      <c r="G80" s="54">
        <f t="shared" si="12"/>
        <v>1.9</v>
      </c>
      <c r="H80" s="111" t="s">
        <v>38</v>
      </c>
      <c r="I80" s="5">
        <v>1.99</v>
      </c>
      <c r="J80" s="54">
        <f t="shared" si="8"/>
        <v>1.99</v>
      </c>
      <c r="K80" s="111" t="s">
        <v>38</v>
      </c>
      <c r="L80" s="5">
        <v>1.09</v>
      </c>
      <c r="M80" s="54">
        <f t="shared" si="11"/>
        <v>1.09</v>
      </c>
      <c r="P80" s="140"/>
      <c r="Q80" s="140"/>
      <c r="R80" s="137"/>
      <c r="S80" s="138">
        <f t="shared" si="13"/>
        <v>0</v>
      </c>
      <c r="T80" s="138">
        <f t="shared" si="10"/>
        <v>0</v>
      </c>
      <c r="U80" s="139">
        <f t="shared" si="14"/>
        <v>0</v>
      </c>
      <c r="V80" s="140">
        <f t="shared" si="15"/>
        <v>0</v>
      </c>
    </row>
    <row r="81" spans="1:22" ht="15.75">
      <c r="A81" s="109" t="s">
        <v>16</v>
      </c>
      <c r="B81" s="111" t="s">
        <v>38</v>
      </c>
      <c r="C81" s="120">
        <v>7.35</v>
      </c>
      <c r="D81" s="121">
        <f t="shared" si="9"/>
        <v>7.35</v>
      </c>
      <c r="E81" s="111" t="s">
        <v>38</v>
      </c>
      <c r="F81" s="5">
        <v>6</v>
      </c>
      <c r="G81" s="54">
        <f t="shared" si="12"/>
        <v>6</v>
      </c>
      <c r="H81" s="111" t="s">
        <v>38</v>
      </c>
      <c r="I81" s="5">
        <v>3.5</v>
      </c>
      <c r="J81" s="54">
        <f t="shared" si="8"/>
        <v>3.5</v>
      </c>
      <c r="K81" s="111" t="s">
        <v>38</v>
      </c>
      <c r="L81" s="5">
        <v>5.79</v>
      </c>
      <c r="M81" s="54">
        <f t="shared" si="11"/>
        <v>5.79</v>
      </c>
      <c r="P81" s="140"/>
      <c r="Q81" s="140"/>
      <c r="R81" s="137"/>
      <c r="S81" s="138">
        <f t="shared" si="13"/>
        <v>0</v>
      </c>
      <c r="T81" s="138">
        <f t="shared" si="10"/>
        <v>0</v>
      </c>
      <c r="U81" s="139">
        <f t="shared" si="14"/>
        <v>0</v>
      </c>
      <c r="V81" s="140">
        <f t="shared" si="15"/>
        <v>0</v>
      </c>
    </row>
    <row r="82" spans="1:22" ht="15.75">
      <c r="A82" s="109" t="s">
        <v>238</v>
      </c>
      <c r="B82" s="111" t="s">
        <v>38</v>
      </c>
      <c r="C82" s="120">
        <v>2.56</v>
      </c>
      <c r="D82" s="121">
        <f t="shared" si="9"/>
        <v>2.56</v>
      </c>
      <c r="E82" s="111" t="s">
        <v>38</v>
      </c>
      <c r="F82" s="5">
        <v>2.5</v>
      </c>
      <c r="G82" s="54">
        <f t="shared" si="12"/>
        <v>2.5</v>
      </c>
      <c r="H82" s="111" t="s">
        <v>38</v>
      </c>
      <c r="I82" s="5">
        <v>2.11</v>
      </c>
      <c r="J82" s="54">
        <f t="shared" si="8"/>
        <v>2.11</v>
      </c>
      <c r="K82" s="111" t="s">
        <v>38</v>
      </c>
      <c r="L82" s="5">
        <v>5.34</v>
      </c>
      <c r="M82" s="54">
        <f t="shared" si="11"/>
        <v>5.34</v>
      </c>
      <c r="P82" s="140"/>
      <c r="Q82" s="140"/>
      <c r="R82" s="137"/>
      <c r="S82" s="138">
        <f t="shared" si="13"/>
        <v>0</v>
      </c>
      <c r="T82" s="138">
        <f t="shared" si="10"/>
        <v>0</v>
      </c>
      <c r="U82" s="139">
        <f t="shared" si="14"/>
        <v>0</v>
      </c>
      <c r="V82" s="140">
        <f t="shared" si="15"/>
        <v>0</v>
      </c>
    </row>
    <row r="83" spans="1:22" ht="15.75">
      <c r="A83" s="109" t="s">
        <v>239</v>
      </c>
      <c r="B83" s="111" t="s">
        <v>38</v>
      </c>
      <c r="C83" s="120">
        <v>3.25</v>
      </c>
      <c r="D83" s="121">
        <f t="shared" si="9"/>
        <v>3.25</v>
      </c>
      <c r="E83" s="111" t="s">
        <v>38</v>
      </c>
      <c r="F83" s="5">
        <v>4.8</v>
      </c>
      <c r="G83" s="54">
        <f t="shared" si="12"/>
        <v>4.8</v>
      </c>
      <c r="H83" s="111" t="s">
        <v>38</v>
      </c>
      <c r="I83" s="5">
        <v>6.35</v>
      </c>
      <c r="J83" s="54">
        <f t="shared" si="8"/>
        <v>6.35</v>
      </c>
      <c r="K83" s="111" t="s">
        <v>38</v>
      </c>
      <c r="L83" s="5">
        <v>3.43</v>
      </c>
      <c r="M83" s="54">
        <f t="shared" si="11"/>
        <v>3.43</v>
      </c>
      <c r="P83" s="140"/>
      <c r="Q83" s="140"/>
      <c r="R83" s="137"/>
      <c r="S83" s="138">
        <f t="shared" si="13"/>
        <v>0</v>
      </c>
      <c r="T83" s="138">
        <f t="shared" si="10"/>
        <v>0</v>
      </c>
      <c r="U83" s="139">
        <f t="shared" si="14"/>
        <v>0</v>
      </c>
      <c r="V83" s="140">
        <f t="shared" si="15"/>
        <v>0</v>
      </c>
    </row>
    <row r="84" spans="1:22" ht="15.75">
      <c r="A84" s="109" t="s">
        <v>240</v>
      </c>
      <c r="B84" s="111" t="s">
        <v>38</v>
      </c>
      <c r="C84" s="120">
        <v>3.85</v>
      </c>
      <c r="D84" s="121">
        <f t="shared" si="9"/>
        <v>3.85</v>
      </c>
      <c r="E84" s="111" t="s">
        <v>38</v>
      </c>
      <c r="F84" s="5">
        <v>3.8</v>
      </c>
      <c r="G84" s="54">
        <f t="shared" si="12"/>
        <v>3.8</v>
      </c>
      <c r="H84" s="111" t="s">
        <v>38</v>
      </c>
      <c r="I84" s="5">
        <v>3.96</v>
      </c>
      <c r="J84" s="54">
        <f t="shared" si="8"/>
        <v>3.96</v>
      </c>
      <c r="K84" s="111" t="s">
        <v>38</v>
      </c>
      <c r="L84" s="5">
        <v>3.16</v>
      </c>
      <c r="M84" s="54">
        <f t="shared" si="11"/>
        <v>3.16</v>
      </c>
      <c r="P84" s="140"/>
      <c r="Q84" s="140"/>
      <c r="R84" s="137"/>
      <c r="S84" s="138">
        <f t="shared" si="13"/>
        <v>0</v>
      </c>
      <c r="T84" s="138">
        <f t="shared" si="10"/>
        <v>0</v>
      </c>
      <c r="U84" s="139">
        <f t="shared" si="14"/>
        <v>0</v>
      </c>
      <c r="V84" s="140">
        <f t="shared" si="15"/>
        <v>0</v>
      </c>
    </row>
    <row r="85" spans="1:22" ht="15.75">
      <c r="A85" s="109" t="s">
        <v>241</v>
      </c>
      <c r="B85" s="111" t="s">
        <v>38</v>
      </c>
      <c r="C85" s="120">
        <v>0.97</v>
      </c>
      <c r="D85" s="121">
        <f t="shared" si="9"/>
        <v>0.97</v>
      </c>
      <c r="E85" s="111" t="s">
        <v>38</v>
      </c>
      <c r="F85" s="5">
        <v>2.2</v>
      </c>
      <c r="G85" s="54">
        <f t="shared" si="12"/>
        <v>2.2</v>
      </c>
      <c r="H85" s="111" t="s">
        <v>38</v>
      </c>
      <c r="I85" s="5">
        <v>1.45</v>
      </c>
      <c r="J85" s="54">
        <f t="shared" si="8"/>
        <v>1.45</v>
      </c>
      <c r="K85" s="111" t="s">
        <v>38</v>
      </c>
      <c r="L85" s="5">
        <v>1.51</v>
      </c>
      <c r="M85" s="54">
        <f t="shared" si="11"/>
        <v>1.51</v>
      </c>
      <c r="P85" s="111"/>
      <c r="Q85" s="116"/>
      <c r="R85" s="137"/>
      <c r="S85" s="138">
        <f t="shared" si="13"/>
        <v>0</v>
      </c>
      <c r="T85" s="138">
        <f t="shared" si="10"/>
        <v>0</v>
      </c>
      <c r="U85" s="139">
        <f t="shared" si="14"/>
        <v>0</v>
      </c>
      <c r="V85" s="140">
        <f t="shared" si="15"/>
        <v>0</v>
      </c>
    </row>
    <row r="86" spans="1:22" ht="25.5">
      <c r="A86" s="109" t="s">
        <v>7</v>
      </c>
      <c r="B86" s="111" t="s">
        <v>41</v>
      </c>
      <c r="C86" s="30">
        <f>D86*1000</f>
        <v>18.849999999999998</v>
      </c>
      <c r="D86" s="30">
        <v>0.01885</v>
      </c>
      <c r="E86" s="111" t="s">
        <v>41</v>
      </c>
      <c r="F86" s="5">
        <f>G86*1000</f>
        <v>22</v>
      </c>
      <c r="G86" s="54">
        <v>0.022</v>
      </c>
      <c r="H86" s="111" t="s">
        <v>367</v>
      </c>
      <c r="I86" s="5">
        <v>32.9</v>
      </c>
      <c r="J86" s="134">
        <f>I86/1500</f>
        <v>0.021933333333333332</v>
      </c>
      <c r="K86" s="104" t="s">
        <v>394</v>
      </c>
      <c r="L86" s="5">
        <v>1.2</v>
      </c>
      <c r="M86" s="54">
        <f>L86/50</f>
        <v>0.024</v>
      </c>
      <c r="P86" s="111"/>
      <c r="Q86" s="116"/>
      <c r="R86" s="137"/>
      <c r="S86" s="138">
        <f t="shared" si="13"/>
        <v>0</v>
      </c>
      <c r="T86" s="138">
        <f t="shared" si="10"/>
        <v>0</v>
      </c>
      <c r="U86" s="139">
        <f t="shared" si="14"/>
        <v>0</v>
      </c>
      <c r="V86" s="140">
        <f t="shared" si="15"/>
        <v>0</v>
      </c>
    </row>
    <row r="87" spans="1:22" ht="25.5">
      <c r="A87" s="109" t="s">
        <v>8</v>
      </c>
      <c r="B87" s="111" t="s">
        <v>290</v>
      </c>
      <c r="C87" s="30">
        <f>D87*300</f>
        <v>18.8499</v>
      </c>
      <c r="D87" s="30">
        <v>0.062833</v>
      </c>
      <c r="E87" s="111" t="s">
        <v>331</v>
      </c>
      <c r="F87" s="5">
        <f>G87*400</f>
        <v>31.6</v>
      </c>
      <c r="G87" s="30">
        <v>0.079</v>
      </c>
      <c r="H87" s="111" t="s">
        <v>114</v>
      </c>
      <c r="I87" s="5">
        <v>24.9</v>
      </c>
      <c r="J87" s="54">
        <f>I87/300</f>
        <v>0.08299999999999999</v>
      </c>
      <c r="K87" s="104" t="s">
        <v>395</v>
      </c>
      <c r="L87" s="30">
        <v>1.99</v>
      </c>
      <c r="M87" s="115">
        <f>L87/20</f>
        <v>0.0995</v>
      </c>
      <c r="P87" s="111"/>
      <c r="Q87" s="116"/>
      <c r="R87" s="137"/>
      <c r="S87" s="138">
        <f t="shared" si="13"/>
        <v>0</v>
      </c>
      <c r="T87" s="138">
        <f t="shared" si="10"/>
        <v>0</v>
      </c>
      <c r="U87" s="139">
        <f t="shared" si="14"/>
        <v>0</v>
      </c>
      <c r="V87" s="140">
        <f t="shared" si="15"/>
        <v>0</v>
      </c>
    </row>
    <row r="88" spans="1:22" ht="15.75">
      <c r="A88" s="109" t="s">
        <v>242</v>
      </c>
      <c r="B88" s="111" t="s">
        <v>38</v>
      </c>
      <c r="C88" s="120">
        <v>1.07</v>
      </c>
      <c r="D88" s="30">
        <f>C88/1</f>
        <v>1.07</v>
      </c>
      <c r="E88" s="111" t="s">
        <v>38</v>
      </c>
      <c r="F88" s="5">
        <v>1.2</v>
      </c>
      <c r="G88" s="5">
        <f>F88/1</f>
        <v>1.2</v>
      </c>
      <c r="H88" s="111" t="s">
        <v>38</v>
      </c>
      <c r="I88" s="5">
        <v>1.68</v>
      </c>
      <c r="J88" s="5">
        <f>I88/1</f>
        <v>1.68</v>
      </c>
      <c r="K88" s="111" t="s">
        <v>38</v>
      </c>
      <c r="L88" s="5">
        <v>0.8</v>
      </c>
      <c r="M88" s="5">
        <f>L88/1</f>
        <v>0.8</v>
      </c>
      <c r="P88" s="116"/>
      <c r="Q88" s="116"/>
      <c r="R88" s="137"/>
      <c r="S88" s="138">
        <f t="shared" si="13"/>
        <v>0</v>
      </c>
      <c r="T88" s="138">
        <f t="shared" si="10"/>
        <v>0</v>
      </c>
      <c r="U88" s="139">
        <f t="shared" si="14"/>
        <v>0</v>
      </c>
      <c r="V88" s="140">
        <f t="shared" si="15"/>
        <v>0</v>
      </c>
    </row>
    <row r="89" spans="1:22" ht="15.75">
      <c r="A89" s="227" t="s">
        <v>243</v>
      </c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P89" s="140"/>
      <c r="Q89" s="140"/>
      <c r="R89" s="137"/>
      <c r="S89" s="138">
        <f t="shared" si="13"/>
        <v>0</v>
      </c>
      <c r="T89" s="138">
        <f t="shared" si="10"/>
        <v>0</v>
      </c>
      <c r="U89" s="139">
        <f t="shared" si="14"/>
        <v>0</v>
      </c>
      <c r="V89" s="140">
        <f t="shared" si="15"/>
        <v>0</v>
      </c>
    </row>
    <row r="90" spans="1:22" ht="31.5">
      <c r="A90" s="109" t="s">
        <v>244</v>
      </c>
      <c r="B90" s="4" t="s">
        <v>38</v>
      </c>
      <c r="C90" s="5">
        <v>44</v>
      </c>
      <c r="D90" s="5">
        <f>C90/1</f>
        <v>44</v>
      </c>
      <c r="E90" s="4" t="s">
        <v>38</v>
      </c>
      <c r="F90" s="5">
        <v>48</v>
      </c>
      <c r="G90" s="5">
        <f>F90/1</f>
        <v>48</v>
      </c>
      <c r="H90" s="4" t="s">
        <v>38</v>
      </c>
      <c r="I90" s="5">
        <v>31</v>
      </c>
      <c r="J90" s="5">
        <f>I90/1</f>
        <v>31</v>
      </c>
      <c r="K90" s="4" t="s">
        <v>38</v>
      </c>
      <c r="L90" s="5">
        <v>44.5</v>
      </c>
      <c r="M90" s="5">
        <f>L90/1</f>
        <v>44.5</v>
      </c>
      <c r="P90" s="140"/>
      <c r="Q90" s="140"/>
      <c r="R90" s="137"/>
      <c r="S90" s="138">
        <f t="shared" si="13"/>
        <v>0</v>
      </c>
      <c r="T90" s="138">
        <f t="shared" si="10"/>
        <v>0</v>
      </c>
      <c r="U90" s="139">
        <f t="shared" si="14"/>
        <v>0</v>
      </c>
      <c r="V90" s="140">
        <f t="shared" si="15"/>
        <v>0</v>
      </c>
    </row>
    <row r="91" spans="1:22" ht="15.75">
      <c r="A91" s="109" t="s">
        <v>245</v>
      </c>
      <c r="B91" s="4" t="s">
        <v>38</v>
      </c>
      <c r="C91" s="5">
        <v>1.1</v>
      </c>
      <c r="D91" s="5">
        <f>C91/1</f>
        <v>1.1</v>
      </c>
      <c r="E91" s="4" t="s">
        <v>38</v>
      </c>
      <c r="F91" s="5">
        <v>3.5</v>
      </c>
      <c r="G91" s="5">
        <f>F91/1</f>
        <v>3.5</v>
      </c>
      <c r="H91" s="4" t="s">
        <v>38</v>
      </c>
      <c r="I91" s="5">
        <v>7.9</v>
      </c>
      <c r="J91" s="5">
        <f>I91/1</f>
        <v>7.9</v>
      </c>
      <c r="K91" s="135" t="s">
        <v>298</v>
      </c>
      <c r="L91" s="132"/>
      <c r="M91" s="132"/>
      <c r="P91" s="140"/>
      <c r="Q91" s="140"/>
      <c r="R91" s="137"/>
      <c r="S91" s="138">
        <f t="shared" si="13"/>
        <v>0</v>
      </c>
      <c r="T91" s="138">
        <f t="shared" si="10"/>
        <v>0</v>
      </c>
      <c r="U91" s="139">
        <f t="shared" si="14"/>
        <v>0</v>
      </c>
      <c r="V91" s="140">
        <f t="shared" si="15"/>
        <v>0</v>
      </c>
    </row>
    <row r="92" spans="1:22" ht="15.75">
      <c r="A92" s="109" t="s">
        <v>246</v>
      </c>
      <c r="B92" s="116" t="s">
        <v>291</v>
      </c>
      <c r="C92" s="5">
        <v>3.5</v>
      </c>
      <c r="D92" s="5">
        <f>C92/50</f>
        <v>0.07</v>
      </c>
      <c r="E92" s="116" t="s">
        <v>34</v>
      </c>
      <c r="F92" s="5">
        <v>2.5</v>
      </c>
      <c r="G92" s="54">
        <f>F92/100</f>
        <v>0.025</v>
      </c>
      <c r="H92" s="116" t="s">
        <v>291</v>
      </c>
      <c r="I92" s="5">
        <v>3.5</v>
      </c>
      <c r="J92" s="54">
        <f>I92/50</f>
        <v>0.07</v>
      </c>
      <c r="K92" s="116" t="s">
        <v>291</v>
      </c>
      <c r="L92" s="5">
        <v>3</v>
      </c>
      <c r="M92" s="54">
        <f>L92/50</f>
        <v>0.06</v>
      </c>
      <c r="P92" s="140"/>
      <c r="Q92" s="140"/>
      <c r="R92" s="137"/>
      <c r="S92" s="138">
        <f t="shared" si="13"/>
        <v>0</v>
      </c>
      <c r="T92" s="138">
        <f t="shared" si="10"/>
        <v>0</v>
      </c>
      <c r="U92" s="139">
        <f t="shared" si="14"/>
        <v>0</v>
      </c>
      <c r="V92" s="140">
        <f t="shared" si="15"/>
        <v>0</v>
      </c>
    </row>
    <row r="93" spans="1:22" ht="15.75">
      <c r="A93" s="109" t="s">
        <v>259</v>
      </c>
      <c r="B93" s="116" t="s">
        <v>332</v>
      </c>
      <c r="C93" s="5">
        <v>22.05</v>
      </c>
      <c r="D93" s="5">
        <f>C93/1</f>
        <v>22.05</v>
      </c>
      <c r="E93" s="116" t="s">
        <v>33</v>
      </c>
      <c r="F93" s="5">
        <v>36</v>
      </c>
      <c r="G93" s="5">
        <f>F93/1</f>
        <v>36</v>
      </c>
      <c r="H93" s="116" t="s">
        <v>33</v>
      </c>
      <c r="I93" s="5">
        <v>16.9</v>
      </c>
      <c r="J93" s="5">
        <f>I93/1</f>
        <v>16.9</v>
      </c>
      <c r="K93" s="135" t="s">
        <v>298</v>
      </c>
      <c r="L93" s="132"/>
      <c r="M93" s="132"/>
      <c r="P93" s="140"/>
      <c r="Q93" s="140"/>
      <c r="R93" s="137"/>
      <c r="S93" s="138">
        <f t="shared" si="13"/>
        <v>0</v>
      </c>
      <c r="T93" s="138">
        <f t="shared" si="10"/>
        <v>0</v>
      </c>
      <c r="U93" s="139">
        <f t="shared" si="14"/>
        <v>0</v>
      </c>
      <c r="V93" s="140">
        <f t="shared" si="15"/>
        <v>0</v>
      </c>
    </row>
    <row r="94" spans="1:22" ht="15.75">
      <c r="A94" s="109" t="s">
        <v>247</v>
      </c>
      <c r="B94" s="4" t="s">
        <v>38</v>
      </c>
      <c r="C94" s="5">
        <v>0.55</v>
      </c>
      <c r="D94" s="5">
        <f>C94/1</f>
        <v>0.55</v>
      </c>
      <c r="E94" s="4" t="s">
        <v>37</v>
      </c>
      <c r="F94" s="5">
        <f>G94*25</f>
        <v>16.5</v>
      </c>
      <c r="G94" s="5">
        <v>0.66</v>
      </c>
      <c r="H94" s="4" t="s">
        <v>38</v>
      </c>
      <c r="I94" s="5">
        <v>0.72</v>
      </c>
      <c r="J94" s="5">
        <f>I94/1</f>
        <v>0.72</v>
      </c>
      <c r="K94" s="135" t="s">
        <v>298</v>
      </c>
      <c r="L94" s="132"/>
      <c r="M94" s="132"/>
      <c r="P94" s="140"/>
      <c r="Q94" s="140"/>
      <c r="R94" s="137"/>
      <c r="S94" s="138">
        <f t="shared" si="13"/>
        <v>0</v>
      </c>
      <c r="T94" s="138">
        <f t="shared" si="10"/>
        <v>0</v>
      </c>
      <c r="U94" s="139">
        <f t="shared" si="14"/>
        <v>0</v>
      </c>
      <c r="V94" s="140">
        <f t="shared" si="15"/>
        <v>0</v>
      </c>
    </row>
    <row r="95" spans="1:22" ht="15.75">
      <c r="A95" s="109" t="s">
        <v>248</v>
      </c>
      <c r="B95" s="4" t="s">
        <v>38</v>
      </c>
      <c r="C95" s="5">
        <v>0.55</v>
      </c>
      <c r="D95" s="5">
        <f>C95/1</f>
        <v>0.55</v>
      </c>
      <c r="E95" s="4" t="s">
        <v>298</v>
      </c>
      <c r="F95" s="130" t="s">
        <v>326</v>
      </c>
      <c r="G95" s="130" t="s">
        <v>326</v>
      </c>
      <c r="H95" s="4" t="s">
        <v>38</v>
      </c>
      <c r="I95" s="5">
        <v>0.72</v>
      </c>
      <c r="J95" s="5">
        <f>I95/1</f>
        <v>0.72</v>
      </c>
      <c r="K95" s="4" t="s">
        <v>396</v>
      </c>
      <c r="L95" s="5">
        <v>30.78</v>
      </c>
      <c r="M95" s="5">
        <f>L95/18</f>
        <v>1.71</v>
      </c>
      <c r="P95" s="140"/>
      <c r="Q95" s="140"/>
      <c r="R95" s="137"/>
      <c r="S95" s="138">
        <f t="shared" si="13"/>
        <v>0</v>
      </c>
      <c r="T95" s="138"/>
      <c r="U95" s="139">
        <f t="shared" si="14"/>
        <v>0</v>
      </c>
      <c r="V95" s="140">
        <f t="shared" si="15"/>
        <v>0</v>
      </c>
    </row>
    <row r="96" spans="1:22" ht="25.5">
      <c r="A96" s="109" t="s">
        <v>249</v>
      </c>
      <c r="B96" s="4" t="s">
        <v>38</v>
      </c>
      <c r="C96" s="5">
        <v>1.15</v>
      </c>
      <c r="D96" s="5">
        <f>C96/1</f>
        <v>1.15</v>
      </c>
      <c r="E96" s="4" t="s">
        <v>327</v>
      </c>
      <c r="F96" s="5">
        <f>G96*12</f>
        <v>25.200000000000003</v>
      </c>
      <c r="G96" s="5">
        <v>2.1</v>
      </c>
      <c r="H96" s="4" t="s">
        <v>38</v>
      </c>
      <c r="I96" s="5">
        <v>1.65</v>
      </c>
      <c r="J96" s="5">
        <f>I96/1</f>
        <v>1.65</v>
      </c>
      <c r="K96" s="104" t="s">
        <v>397</v>
      </c>
      <c r="L96" s="5">
        <v>38.28</v>
      </c>
      <c r="M96" s="5">
        <f>L96/12</f>
        <v>3.19</v>
      </c>
      <c r="P96" s="140"/>
      <c r="Q96" s="140"/>
      <c r="R96" s="137"/>
      <c r="S96" s="138">
        <f t="shared" si="13"/>
        <v>0</v>
      </c>
      <c r="T96" s="138">
        <f>Q96*G96</f>
        <v>0</v>
      </c>
      <c r="U96" s="139">
        <f t="shared" si="14"/>
        <v>0</v>
      </c>
      <c r="V96" s="140">
        <f t="shared" si="15"/>
        <v>0</v>
      </c>
    </row>
    <row r="97" spans="1:22" ht="15.75">
      <c r="A97" s="109" t="s">
        <v>250</v>
      </c>
      <c r="B97" s="4" t="s">
        <v>38</v>
      </c>
      <c r="C97" s="5">
        <v>1.85</v>
      </c>
      <c r="D97" s="5">
        <f>C97/1</f>
        <v>1.85</v>
      </c>
      <c r="E97" s="4" t="s">
        <v>327</v>
      </c>
      <c r="F97" s="5">
        <f>G97*12</f>
        <v>30</v>
      </c>
      <c r="G97" s="5">
        <v>2.5</v>
      </c>
      <c r="H97" s="4" t="s">
        <v>38</v>
      </c>
      <c r="I97" s="5">
        <v>1.65</v>
      </c>
      <c r="J97" s="5">
        <f>I97/1</f>
        <v>1.65</v>
      </c>
      <c r="K97" s="104" t="s">
        <v>398</v>
      </c>
      <c r="L97" s="5">
        <v>33.36</v>
      </c>
      <c r="M97" s="5">
        <f>L97/24</f>
        <v>1.39</v>
      </c>
      <c r="P97" s="140"/>
      <c r="Q97" s="140"/>
      <c r="R97" s="137"/>
      <c r="S97" s="138">
        <f t="shared" si="13"/>
        <v>0</v>
      </c>
      <c r="T97" s="138">
        <f>Q97*G97</f>
        <v>0</v>
      </c>
      <c r="U97" s="139">
        <f t="shared" si="14"/>
        <v>0</v>
      </c>
      <c r="V97" s="140">
        <f t="shared" si="15"/>
        <v>0</v>
      </c>
    </row>
    <row r="98" spans="1:22" ht="25.5">
      <c r="A98" s="109" t="s">
        <v>251</v>
      </c>
      <c r="B98" s="116" t="s">
        <v>34</v>
      </c>
      <c r="C98" s="5">
        <v>0.85</v>
      </c>
      <c r="D98" s="115">
        <f>C98/100</f>
        <v>0.0085</v>
      </c>
      <c r="E98" s="116" t="s">
        <v>333</v>
      </c>
      <c r="F98" s="5">
        <f>G98*3000</f>
        <v>26.999999999999996</v>
      </c>
      <c r="G98" s="54">
        <v>0.009</v>
      </c>
      <c r="H98" s="116" t="s">
        <v>34</v>
      </c>
      <c r="I98" s="5">
        <v>0.89</v>
      </c>
      <c r="J98" s="115">
        <f>I98/100</f>
        <v>0.0089</v>
      </c>
      <c r="K98" s="111" t="s">
        <v>399</v>
      </c>
      <c r="L98" s="5">
        <v>1.12</v>
      </c>
      <c r="M98" s="115">
        <f>L98/100</f>
        <v>0.011200000000000002</v>
      </c>
      <c r="P98" s="140"/>
      <c r="Q98" s="140"/>
      <c r="R98" s="137"/>
      <c r="S98" s="138">
        <f t="shared" si="13"/>
        <v>0</v>
      </c>
      <c r="T98" s="138">
        <f>Q98*G98</f>
        <v>0</v>
      </c>
      <c r="U98" s="139">
        <f t="shared" si="14"/>
        <v>0</v>
      </c>
      <c r="V98" s="140">
        <f t="shared" si="15"/>
        <v>0</v>
      </c>
    </row>
    <row r="99" spans="16:22" ht="12.75">
      <c r="P99" s="137"/>
      <c r="Q99" s="137"/>
      <c r="R99" s="137"/>
      <c r="S99" s="136">
        <f>SUM(S6:S98)</f>
        <v>563.73</v>
      </c>
      <c r="T99" s="136">
        <f>SUM(T6:T98)</f>
        <v>520.435</v>
      </c>
      <c r="U99" s="136">
        <f>SUM(U6:U98)</f>
        <v>539.5066666666668</v>
      </c>
      <c r="V99" s="136">
        <f>SUM(V6:V98)</f>
        <v>608.82</v>
      </c>
    </row>
  </sheetData>
  <sheetProtection/>
  <mergeCells count="17">
    <mergeCell ref="A43:M43"/>
    <mergeCell ref="A89:M89"/>
    <mergeCell ref="E4:G4"/>
    <mergeCell ref="H4:J4"/>
    <mergeCell ref="A6:M6"/>
    <mergeCell ref="A18:M18"/>
    <mergeCell ref="A27:M27"/>
    <mergeCell ref="A35:M35"/>
    <mergeCell ref="A2:M2"/>
    <mergeCell ref="S4:S5"/>
    <mergeCell ref="T4:T5"/>
    <mergeCell ref="P4:Q5"/>
    <mergeCell ref="V4:V5"/>
    <mergeCell ref="A4:A5"/>
    <mergeCell ref="B4:D4"/>
    <mergeCell ref="K4:M4"/>
    <mergeCell ref="U4:U5"/>
  </mergeCells>
  <printOptions horizontalCentered="1" verticalCentered="1"/>
  <pageMargins left="0.1968503937007874" right="0.1968503937007874" top="0.3937007874015748" bottom="0.7874015748031497" header="0.2362204724409449" footer="0.15748031496062992"/>
  <pageSetup fitToHeight="2" fitToWidth="2" horizontalDpi="600" verticalDpi="600" orientation="portrait" paperSize="8" scale="47" r:id="rId1"/>
  <colBreaks count="1" manualBreakCount="1">
    <brk id="13" max="98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2:V99"/>
  <sheetViews>
    <sheetView view="pageBreakPreview" zoomScale="75" zoomScaleNormal="90" zoomScaleSheetLayoutView="75" zoomScalePageLayoutView="0" workbookViewId="0" topLeftCell="A1">
      <pane xSplit="1" ySplit="5" topLeftCell="B75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86" sqref="F86"/>
    </sheetView>
  </sheetViews>
  <sheetFormatPr defaultColWidth="9.140625" defaultRowHeight="12.75"/>
  <cols>
    <col min="1" max="1" width="69.421875" style="0" customWidth="1"/>
    <col min="2" max="2" width="20.421875" style="0" customWidth="1"/>
    <col min="3" max="3" width="13.140625" style="0" customWidth="1"/>
    <col min="4" max="4" width="12.28125" style="0" customWidth="1"/>
    <col min="5" max="5" width="24.57421875" style="0" customWidth="1"/>
    <col min="6" max="6" width="8.8515625" style="0" customWidth="1"/>
    <col min="7" max="7" width="10.00390625" style="0" customWidth="1"/>
    <col min="8" max="8" width="25.421875" style="0" bestFit="1" customWidth="1"/>
    <col min="9" max="9" width="11.28125" style="0" customWidth="1"/>
    <col min="10" max="10" width="10.57421875" style="0" customWidth="1"/>
    <col min="11" max="11" width="22.8515625" style="0" bestFit="1" customWidth="1"/>
    <col min="12" max="12" width="10.28125" style="0" customWidth="1"/>
    <col min="13" max="13" width="10.8515625" style="0" customWidth="1"/>
    <col min="14" max="14" width="13.8515625" style="0" customWidth="1"/>
    <col min="15" max="15" width="16.7109375" style="0" customWidth="1"/>
    <col min="16" max="16" width="16.28125" style="0" customWidth="1"/>
    <col min="19" max="19" width="11.421875" style="0" bestFit="1" customWidth="1"/>
    <col min="20" max="20" width="14.00390625" style="0" customWidth="1"/>
    <col min="21" max="21" width="11.421875" style="0" bestFit="1" customWidth="1"/>
    <col min="22" max="22" width="11.00390625" style="0" customWidth="1"/>
  </cols>
  <sheetData>
    <row r="1" ht="13.5" thickBot="1"/>
    <row r="2" spans="1:13" ht="18.75" thickBot="1">
      <c r="A2" s="209" t="s">
        <v>321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1"/>
    </row>
    <row r="3" ht="13.5" thickBot="1"/>
    <row r="4" spans="1:22" ht="15.75" customHeight="1">
      <c r="A4" s="218" t="s">
        <v>0</v>
      </c>
      <c r="B4" s="220" t="s">
        <v>29</v>
      </c>
      <c r="C4" s="221"/>
      <c r="D4" s="222"/>
      <c r="E4" s="228" t="s">
        <v>260</v>
      </c>
      <c r="F4" s="229"/>
      <c r="G4" s="230"/>
      <c r="H4" s="231" t="s">
        <v>76</v>
      </c>
      <c r="I4" s="232"/>
      <c r="J4" s="233"/>
      <c r="K4" s="223" t="s">
        <v>78</v>
      </c>
      <c r="L4" s="224"/>
      <c r="M4" s="225"/>
      <c r="N4" s="10"/>
      <c r="P4" s="216" t="s">
        <v>1</v>
      </c>
      <c r="Q4" s="216"/>
      <c r="S4" s="212" t="s">
        <v>57</v>
      </c>
      <c r="T4" s="214" t="s">
        <v>260</v>
      </c>
      <c r="U4" s="226" t="s">
        <v>134</v>
      </c>
      <c r="V4" s="217" t="s">
        <v>138</v>
      </c>
    </row>
    <row r="5" spans="1:22" ht="18.75" customHeight="1">
      <c r="A5" s="219"/>
      <c r="B5" s="64" t="s">
        <v>2</v>
      </c>
      <c r="C5" s="65" t="s">
        <v>3</v>
      </c>
      <c r="D5" s="66" t="s">
        <v>4</v>
      </c>
      <c r="E5" s="67" t="s">
        <v>2</v>
      </c>
      <c r="F5" s="68" t="s">
        <v>3</v>
      </c>
      <c r="G5" s="69" t="s">
        <v>4</v>
      </c>
      <c r="H5" s="70" t="s">
        <v>2</v>
      </c>
      <c r="I5" s="71" t="s">
        <v>3</v>
      </c>
      <c r="J5" s="72" t="s">
        <v>4</v>
      </c>
      <c r="K5" s="76" t="s">
        <v>2</v>
      </c>
      <c r="L5" s="77" t="s">
        <v>3</v>
      </c>
      <c r="M5" s="78" t="s">
        <v>4</v>
      </c>
      <c r="N5" s="11"/>
      <c r="P5" s="216"/>
      <c r="Q5" s="216"/>
      <c r="S5" s="213"/>
      <c r="T5" s="215"/>
      <c r="U5" s="226"/>
      <c r="V5" s="217"/>
    </row>
    <row r="6" spans="1:22" s="28" customFormat="1" ht="25.5" customHeight="1">
      <c r="A6" s="227" t="s">
        <v>252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9"/>
      <c r="P6" s="111"/>
      <c r="Q6" s="116"/>
      <c r="R6" s="137"/>
      <c r="S6" s="138"/>
      <c r="T6" s="138"/>
      <c r="U6" s="139"/>
      <c r="V6" s="140"/>
    </row>
    <row r="7" spans="1:22" s="28" customFormat="1" ht="47.25">
      <c r="A7" s="109" t="s">
        <v>178</v>
      </c>
      <c r="B7" s="111" t="s">
        <v>261</v>
      </c>
      <c r="C7" s="6">
        <v>1.15</v>
      </c>
      <c r="D7" s="54">
        <f>C7/10</f>
        <v>0.11499999999999999</v>
      </c>
      <c r="E7" s="111" t="s">
        <v>292</v>
      </c>
      <c r="F7" s="5">
        <f>G7*10</f>
        <v>1.1</v>
      </c>
      <c r="G7" s="54">
        <v>0.11</v>
      </c>
      <c r="H7" s="111" t="s">
        <v>334</v>
      </c>
      <c r="I7" s="5">
        <v>0.99</v>
      </c>
      <c r="J7" s="54">
        <f>I7/10</f>
        <v>0.099</v>
      </c>
      <c r="K7" s="111" t="s">
        <v>368</v>
      </c>
      <c r="L7" s="5">
        <v>1.59</v>
      </c>
      <c r="M7" s="54">
        <f>L7/10</f>
        <v>0.159</v>
      </c>
      <c r="N7" s="9"/>
      <c r="P7" s="111"/>
      <c r="Q7" s="116">
        <v>720</v>
      </c>
      <c r="R7" s="137"/>
      <c r="S7" s="138">
        <f aca="true" t="shared" si="0" ref="S7:S38">Q7*D7</f>
        <v>82.8</v>
      </c>
      <c r="T7" s="138">
        <f aca="true" t="shared" si="1" ref="T7:T15">Q7*G7</f>
        <v>79.2</v>
      </c>
      <c r="U7" s="139">
        <f aca="true" t="shared" si="2" ref="U7:U38">Q7*J7</f>
        <v>71.28</v>
      </c>
      <c r="V7" s="140">
        <f aca="true" t="shared" si="3" ref="V7:V38">Q7*M7</f>
        <v>114.48</v>
      </c>
    </row>
    <row r="8" spans="1:22" s="28" customFormat="1" ht="47.25">
      <c r="A8" s="109" t="s">
        <v>26</v>
      </c>
      <c r="B8" s="111" t="s">
        <v>261</v>
      </c>
      <c r="C8" s="6">
        <v>1.15</v>
      </c>
      <c r="D8" s="54">
        <v>0.11499999999999999</v>
      </c>
      <c r="E8" s="111" t="s">
        <v>294</v>
      </c>
      <c r="F8" s="8">
        <f>G8*10</f>
        <v>1</v>
      </c>
      <c r="G8" s="112">
        <v>0.1</v>
      </c>
      <c r="H8" s="111" t="s">
        <v>335</v>
      </c>
      <c r="I8" s="5">
        <v>0.99</v>
      </c>
      <c r="J8" s="54">
        <f>I8/10</f>
        <v>0.099</v>
      </c>
      <c r="K8" s="111" t="s">
        <v>115</v>
      </c>
      <c r="L8" s="5">
        <v>13.4</v>
      </c>
      <c r="M8" s="115">
        <f>L8/12/10</f>
        <v>0.11166666666666666</v>
      </c>
      <c r="N8" s="9"/>
      <c r="P8" s="133"/>
      <c r="Q8" s="124"/>
      <c r="R8" s="137"/>
      <c r="S8" s="138">
        <f t="shared" si="0"/>
        <v>0</v>
      </c>
      <c r="T8" s="138">
        <f t="shared" si="1"/>
        <v>0</v>
      </c>
      <c r="U8" s="139">
        <f t="shared" si="2"/>
        <v>0</v>
      </c>
      <c r="V8" s="140">
        <f t="shared" si="3"/>
        <v>0</v>
      </c>
    </row>
    <row r="9" spans="1:22" s="28" customFormat="1" ht="38.25">
      <c r="A9" s="109" t="s">
        <v>179</v>
      </c>
      <c r="B9" s="111" t="s">
        <v>262</v>
      </c>
      <c r="C9" s="6">
        <v>1.23</v>
      </c>
      <c r="D9" s="54">
        <f>C9/4</f>
        <v>0.3075</v>
      </c>
      <c r="E9" s="111" t="s">
        <v>293</v>
      </c>
      <c r="F9" s="5">
        <f>G9*80</f>
        <v>20</v>
      </c>
      <c r="G9" s="54">
        <v>0.25</v>
      </c>
      <c r="H9" s="111" t="s">
        <v>336</v>
      </c>
      <c r="I9" s="5">
        <v>1.3</v>
      </c>
      <c r="J9" s="54">
        <f>I9/4</f>
        <v>0.325</v>
      </c>
      <c r="K9" s="111" t="s">
        <v>369</v>
      </c>
      <c r="L9" s="5">
        <v>25.2</v>
      </c>
      <c r="M9" s="54">
        <f>L9/80</f>
        <v>0.315</v>
      </c>
      <c r="N9" s="9"/>
      <c r="P9" s="133"/>
      <c r="Q9" s="124"/>
      <c r="R9" s="137"/>
      <c r="S9" s="138">
        <f t="shared" si="0"/>
        <v>0</v>
      </c>
      <c r="T9" s="138">
        <f t="shared" si="1"/>
        <v>0</v>
      </c>
      <c r="U9" s="139">
        <f t="shared" si="2"/>
        <v>0</v>
      </c>
      <c r="V9" s="140">
        <f t="shared" si="3"/>
        <v>0</v>
      </c>
    </row>
    <row r="10" spans="1:22" s="28" customFormat="1" ht="63">
      <c r="A10" s="110" t="s">
        <v>180</v>
      </c>
      <c r="B10" s="111" t="s">
        <v>263</v>
      </c>
      <c r="C10" s="6">
        <v>5.05</v>
      </c>
      <c r="D10" s="54">
        <f>C10/2</f>
        <v>2.525</v>
      </c>
      <c r="E10" s="111" t="s">
        <v>295</v>
      </c>
      <c r="F10" s="5">
        <f>G10*2</f>
        <v>6</v>
      </c>
      <c r="G10" s="54">
        <v>3</v>
      </c>
      <c r="H10" s="111" t="s">
        <v>337</v>
      </c>
      <c r="I10" s="5">
        <v>5.2</v>
      </c>
      <c r="J10" s="54">
        <f>I10/2</f>
        <v>2.6</v>
      </c>
      <c r="K10" s="111" t="s">
        <v>371</v>
      </c>
      <c r="L10" s="5">
        <v>7.85</v>
      </c>
      <c r="M10" s="54">
        <f>L10/2</f>
        <v>3.925</v>
      </c>
      <c r="N10" s="9"/>
      <c r="P10" s="111"/>
      <c r="Q10" s="116"/>
      <c r="R10" s="137"/>
      <c r="S10" s="138">
        <f t="shared" si="0"/>
        <v>0</v>
      </c>
      <c r="T10" s="138">
        <f t="shared" si="1"/>
        <v>0</v>
      </c>
      <c r="U10" s="139">
        <f t="shared" si="2"/>
        <v>0</v>
      </c>
      <c r="V10" s="140">
        <f t="shared" si="3"/>
        <v>0</v>
      </c>
    </row>
    <row r="11" spans="1:22" s="28" customFormat="1" ht="63">
      <c r="A11" s="110" t="s">
        <v>181</v>
      </c>
      <c r="B11" s="111" t="s">
        <v>263</v>
      </c>
      <c r="C11" s="6">
        <v>5.05</v>
      </c>
      <c r="D11" s="54">
        <f>C11/2</f>
        <v>2.525</v>
      </c>
      <c r="E11" s="111" t="s">
        <v>296</v>
      </c>
      <c r="F11" s="5">
        <f>G11*2</f>
        <v>4.8</v>
      </c>
      <c r="G11" s="54">
        <v>2.4</v>
      </c>
      <c r="H11" s="111" t="s">
        <v>338</v>
      </c>
      <c r="I11" s="5">
        <v>4.99</v>
      </c>
      <c r="J11" s="54">
        <f>I11/2</f>
        <v>2.495</v>
      </c>
      <c r="K11" s="111" t="s">
        <v>370</v>
      </c>
      <c r="L11" s="5">
        <v>5.98</v>
      </c>
      <c r="M11" s="54">
        <f>L11/2</f>
        <v>2.99</v>
      </c>
      <c r="N11" s="9"/>
      <c r="P11" s="140"/>
      <c r="Q11" s="116">
        <v>60</v>
      </c>
      <c r="R11" s="137"/>
      <c r="S11" s="138">
        <f t="shared" si="0"/>
        <v>151.5</v>
      </c>
      <c r="T11" s="138">
        <f t="shared" si="1"/>
        <v>144</v>
      </c>
      <c r="U11" s="139">
        <f t="shared" si="2"/>
        <v>149.70000000000002</v>
      </c>
      <c r="V11" s="140">
        <f t="shared" si="3"/>
        <v>179.4</v>
      </c>
    </row>
    <row r="12" spans="1:22" s="28" customFormat="1" ht="15.75">
      <c r="A12" s="109" t="s">
        <v>182</v>
      </c>
      <c r="B12" s="111" t="s">
        <v>264</v>
      </c>
      <c r="C12" s="6">
        <f>D12*3840</f>
        <v>25.80096</v>
      </c>
      <c r="D12" s="114">
        <v>0.006719</v>
      </c>
      <c r="E12" s="111" t="s">
        <v>297</v>
      </c>
      <c r="F12" s="5">
        <f>G12*3750</f>
        <v>14.25</v>
      </c>
      <c r="G12" s="115">
        <v>0.0038</v>
      </c>
      <c r="H12" s="111" t="s">
        <v>339</v>
      </c>
      <c r="I12" s="5">
        <v>12.5</v>
      </c>
      <c r="J12" s="115">
        <f>I12/3150</f>
        <v>0.003968253968253968</v>
      </c>
      <c r="K12" s="111" t="s">
        <v>372</v>
      </c>
      <c r="L12" s="5">
        <v>21.27</v>
      </c>
      <c r="M12" s="115">
        <f>L12/3060</f>
        <v>0.006950980392156862</v>
      </c>
      <c r="N12" s="9"/>
      <c r="P12" s="111"/>
      <c r="Q12" s="116"/>
      <c r="R12" s="137"/>
      <c r="S12" s="138">
        <f t="shared" si="0"/>
        <v>0</v>
      </c>
      <c r="T12" s="138">
        <f t="shared" si="1"/>
        <v>0</v>
      </c>
      <c r="U12" s="139">
        <f t="shared" si="2"/>
        <v>0</v>
      </c>
      <c r="V12" s="140">
        <f t="shared" si="3"/>
        <v>0</v>
      </c>
    </row>
    <row r="13" spans="1:22" s="28" customFormat="1" ht="15.75">
      <c r="A13" s="109" t="s">
        <v>183</v>
      </c>
      <c r="B13" s="111" t="s">
        <v>38</v>
      </c>
      <c r="C13" s="6">
        <v>10.4</v>
      </c>
      <c r="D13" s="54">
        <f>C13</f>
        <v>10.4</v>
      </c>
      <c r="E13" s="104" t="s">
        <v>38</v>
      </c>
      <c r="F13" s="8">
        <v>16</v>
      </c>
      <c r="G13" s="54">
        <f>F13/1</f>
        <v>16</v>
      </c>
      <c r="H13" s="127" t="s">
        <v>38</v>
      </c>
      <c r="I13" s="8">
        <v>15.2</v>
      </c>
      <c r="J13" s="54">
        <f>I13/1</f>
        <v>15.2</v>
      </c>
      <c r="K13" s="131" t="s">
        <v>38</v>
      </c>
      <c r="L13" s="8">
        <v>13.72</v>
      </c>
      <c r="M13" s="54">
        <f>L13/1</f>
        <v>13.72</v>
      </c>
      <c r="N13" s="9"/>
      <c r="P13" s="111"/>
      <c r="Q13" s="116"/>
      <c r="R13" s="137"/>
      <c r="S13" s="138">
        <f t="shared" si="0"/>
        <v>0</v>
      </c>
      <c r="T13" s="138">
        <f t="shared" si="1"/>
        <v>0</v>
      </c>
      <c r="U13" s="139">
        <f t="shared" si="2"/>
        <v>0</v>
      </c>
      <c r="V13" s="140">
        <f t="shared" si="3"/>
        <v>0</v>
      </c>
    </row>
    <row r="14" spans="1:22" s="28" customFormat="1" ht="35.25" customHeight="1">
      <c r="A14" s="109" t="s">
        <v>184</v>
      </c>
      <c r="B14" s="111" t="s">
        <v>38</v>
      </c>
      <c r="C14" s="6">
        <v>8.1</v>
      </c>
      <c r="D14" s="54">
        <f>C14</f>
        <v>8.1</v>
      </c>
      <c r="E14" s="104" t="s">
        <v>38</v>
      </c>
      <c r="F14" s="5">
        <v>6.8</v>
      </c>
      <c r="G14" s="54">
        <f>F14/1</f>
        <v>6.8</v>
      </c>
      <c r="H14" s="104" t="s">
        <v>38</v>
      </c>
      <c r="I14" s="5">
        <v>15.1</v>
      </c>
      <c r="J14" s="54">
        <f>I14/1</f>
        <v>15.1</v>
      </c>
      <c r="K14" s="104" t="s">
        <v>38</v>
      </c>
      <c r="L14" s="5">
        <v>6.6</v>
      </c>
      <c r="M14" s="54">
        <f>L14/1</f>
        <v>6.6</v>
      </c>
      <c r="N14" s="9"/>
      <c r="P14" s="111"/>
      <c r="Q14" s="116"/>
      <c r="R14" s="137"/>
      <c r="S14" s="138">
        <f t="shared" si="0"/>
        <v>0</v>
      </c>
      <c r="T14" s="138">
        <f t="shared" si="1"/>
        <v>0</v>
      </c>
      <c r="U14" s="139">
        <f t="shared" si="2"/>
        <v>0</v>
      </c>
      <c r="V14" s="140">
        <f t="shared" si="3"/>
        <v>0</v>
      </c>
    </row>
    <row r="15" spans="1:22" s="28" customFormat="1" ht="36.75" customHeight="1">
      <c r="A15" s="109" t="s">
        <v>185</v>
      </c>
      <c r="B15" s="111" t="s">
        <v>265</v>
      </c>
      <c r="C15" s="6">
        <v>13.1</v>
      </c>
      <c r="D15" s="54">
        <f>C15</f>
        <v>13.1</v>
      </c>
      <c r="E15" s="104" t="s">
        <v>265</v>
      </c>
      <c r="F15" s="5">
        <v>12.5</v>
      </c>
      <c r="G15" s="54">
        <f>F15/1</f>
        <v>12.5</v>
      </c>
      <c r="H15" s="104" t="s">
        <v>340</v>
      </c>
      <c r="I15" s="5">
        <v>12.5</v>
      </c>
      <c r="J15" s="54">
        <f>I15/1</f>
        <v>12.5</v>
      </c>
      <c r="K15" s="104" t="s">
        <v>38</v>
      </c>
      <c r="L15" s="5">
        <v>9.34</v>
      </c>
      <c r="M15" s="54">
        <f>L15/1</f>
        <v>9.34</v>
      </c>
      <c r="N15" s="9"/>
      <c r="P15" s="111"/>
      <c r="Q15" s="116"/>
      <c r="R15" s="137"/>
      <c r="S15" s="138">
        <f t="shared" si="0"/>
        <v>0</v>
      </c>
      <c r="T15" s="138">
        <f t="shared" si="1"/>
        <v>0</v>
      </c>
      <c r="U15" s="139">
        <f t="shared" si="2"/>
        <v>0</v>
      </c>
      <c r="V15" s="140">
        <f t="shared" si="3"/>
        <v>0</v>
      </c>
    </row>
    <row r="16" spans="1:22" s="28" customFormat="1" ht="35.25" customHeight="1">
      <c r="A16" s="109" t="s">
        <v>186</v>
      </c>
      <c r="B16" s="111" t="s">
        <v>38</v>
      </c>
      <c r="C16" s="6">
        <v>1.4</v>
      </c>
      <c r="D16" s="54">
        <f>C16</f>
        <v>1.4</v>
      </c>
      <c r="E16" s="104" t="s">
        <v>38</v>
      </c>
      <c r="F16" s="122" t="s">
        <v>298</v>
      </c>
      <c r="G16" s="123" t="s">
        <v>298</v>
      </c>
      <c r="H16" s="104" t="s">
        <v>341</v>
      </c>
      <c r="I16" s="128">
        <v>1.45</v>
      </c>
      <c r="J16" s="54">
        <f>I16/1</f>
        <v>1.45</v>
      </c>
      <c r="K16" s="104" t="s">
        <v>373</v>
      </c>
      <c r="L16" s="128">
        <v>1.19</v>
      </c>
      <c r="M16" s="54">
        <f>L16/1</f>
        <v>1.19</v>
      </c>
      <c r="N16" s="9"/>
      <c r="P16" s="111"/>
      <c r="Q16" s="116"/>
      <c r="R16" s="137"/>
      <c r="S16" s="138">
        <f t="shared" si="0"/>
        <v>0</v>
      </c>
      <c r="T16" s="138"/>
      <c r="U16" s="139">
        <f t="shared" si="2"/>
        <v>0</v>
      </c>
      <c r="V16" s="140">
        <f t="shared" si="3"/>
        <v>0</v>
      </c>
    </row>
    <row r="17" spans="1:22" s="28" customFormat="1" ht="25.5" customHeight="1">
      <c r="A17" s="109" t="s">
        <v>187</v>
      </c>
      <c r="B17" s="111" t="s">
        <v>38</v>
      </c>
      <c r="C17" s="6">
        <v>1.4</v>
      </c>
      <c r="D17" s="54">
        <f>C17</f>
        <v>1.4</v>
      </c>
      <c r="E17" s="111" t="s">
        <v>38</v>
      </c>
      <c r="F17" s="5">
        <v>1.3</v>
      </c>
      <c r="G17" s="115">
        <f>F17/1</f>
        <v>1.3</v>
      </c>
      <c r="H17" s="111" t="s">
        <v>38</v>
      </c>
      <c r="I17" s="5">
        <v>1.45</v>
      </c>
      <c r="J17" s="115">
        <f>I17/1</f>
        <v>1.45</v>
      </c>
      <c r="K17" s="111" t="s">
        <v>38</v>
      </c>
      <c r="L17" s="5">
        <v>1.56</v>
      </c>
      <c r="M17" s="115">
        <f>L17/1</f>
        <v>1.56</v>
      </c>
      <c r="N17" s="9"/>
      <c r="P17" s="111"/>
      <c r="Q17" s="116"/>
      <c r="R17" s="137"/>
      <c r="S17" s="138">
        <f t="shared" si="0"/>
        <v>0</v>
      </c>
      <c r="T17" s="138">
        <f aca="true" t="shared" si="4" ref="T17:T54">Q17*G17</f>
        <v>0</v>
      </c>
      <c r="U17" s="139">
        <f t="shared" si="2"/>
        <v>0</v>
      </c>
      <c r="V17" s="140">
        <f t="shared" si="3"/>
        <v>0</v>
      </c>
    </row>
    <row r="18" spans="1:22" s="28" customFormat="1" ht="15.75">
      <c r="A18" s="227" t="s">
        <v>188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9"/>
      <c r="P18" s="133"/>
      <c r="Q18" s="124"/>
      <c r="R18" s="137"/>
      <c r="S18" s="138">
        <f t="shared" si="0"/>
        <v>0</v>
      </c>
      <c r="T18" s="138">
        <f t="shared" si="4"/>
        <v>0</v>
      </c>
      <c r="U18" s="139">
        <f t="shared" si="2"/>
        <v>0</v>
      </c>
      <c r="V18" s="140">
        <f t="shared" si="3"/>
        <v>0</v>
      </c>
    </row>
    <row r="19" spans="1:22" s="28" customFormat="1" ht="47.25">
      <c r="A19" s="109" t="s">
        <v>253</v>
      </c>
      <c r="B19" s="111" t="s">
        <v>266</v>
      </c>
      <c r="C19" s="6">
        <v>1.45</v>
      </c>
      <c r="D19" s="54">
        <f>C19</f>
        <v>1.45</v>
      </c>
      <c r="E19" s="111" t="s">
        <v>299</v>
      </c>
      <c r="F19" s="5">
        <v>1.65</v>
      </c>
      <c r="G19" s="115">
        <f>F19/750*1000</f>
        <v>2.1999999999999997</v>
      </c>
      <c r="H19" s="111" t="s">
        <v>342</v>
      </c>
      <c r="I19" s="5">
        <v>1.09</v>
      </c>
      <c r="J19" s="115">
        <f>I19/750*1000</f>
        <v>1.4533333333333334</v>
      </c>
      <c r="K19" s="111" t="s">
        <v>374</v>
      </c>
      <c r="L19" s="5">
        <v>1.24</v>
      </c>
      <c r="M19" s="115">
        <f>L19/750*1000</f>
        <v>1.6533333333333333</v>
      </c>
      <c r="N19" s="9"/>
      <c r="P19" s="133"/>
      <c r="Q19" s="116"/>
      <c r="R19" s="137"/>
      <c r="S19" s="138">
        <f t="shared" si="0"/>
        <v>0</v>
      </c>
      <c r="T19" s="138">
        <f t="shared" si="4"/>
        <v>0</v>
      </c>
      <c r="U19" s="139">
        <f t="shared" si="2"/>
        <v>0</v>
      </c>
      <c r="V19" s="140">
        <f t="shared" si="3"/>
        <v>0</v>
      </c>
    </row>
    <row r="20" spans="1:22" s="28" customFormat="1" ht="38.25">
      <c r="A20" s="109" t="s">
        <v>254</v>
      </c>
      <c r="B20" s="111" t="s">
        <v>267</v>
      </c>
      <c r="C20" s="6">
        <v>3</v>
      </c>
      <c r="D20" s="54">
        <f>C20/5</f>
        <v>0.6</v>
      </c>
      <c r="E20" s="111" t="s">
        <v>300</v>
      </c>
      <c r="F20" s="5">
        <f>G20*5</f>
        <v>3.5</v>
      </c>
      <c r="G20" s="54">
        <v>0.7</v>
      </c>
      <c r="H20" s="111" t="s">
        <v>343</v>
      </c>
      <c r="I20" s="5">
        <v>1.3</v>
      </c>
      <c r="J20" s="115">
        <f>I20/750*1000</f>
        <v>1.7333333333333334</v>
      </c>
      <c r="K20" s="111" t="s">
        <v>375</v>
      </c>
      <c r="L20" s="5">
        <v>4.24</v>
      </c>
      <c r="M20" s="115">
        <f>L20/5</f>
        <v>0.8480000000000001</v>
      </c>
      <c r="N20" s="9"/>
      <c r="P20" s="111"/>
      <c r="Q20" s="116"/>
      <c r="R20" s="137"/>
      <c r="S20" s="138">
        <f t="shared" si="0"/>
        <v>0</v>
      </c>
      <c r="T20" s="138">
        <f t="shared" si="4"/>
        <v>0</v>
      </c>
      <c r="U20" s="139">
        <f t="shared" si="2"/>
        <v>0</v>
      </c>
      <c r="V20" s="140">
        <f t="shared" si="3"/>
        <v>0</v>
      </c>
    </row>
    <row r="21" spans="1:22" s="28" customFormat="1" ht="38.25">
      <c r="A21" s="109" t="s">
        <v>189</v>
      </c>
      <c r="B21" s="111" t="s">
        <v>268</v>
      </c>
      <c r="C21" s="6">
        <v>0.95</v>
      </c>
      <c r="D21" s="54">
        <f>C21/750*1000</f>
        <v>1.2666666666666666</v>
      </c>
      <c r="E21" s="111" t="s">
        <v>301</v>
      </c>
      <c r="F21" s="5">
        <v>0.85</v>
      </c>
      <c r="G21" s="54">
        <f>F21/750*1000</f>
        <v>1.1333333333333333</v>
      </c>
      <c r="H21" s="111" t="s">
        <v>344</v>
      </c>
      <c r="I21" s="5">
        <v>1.3</v>
      </c>
      <c r="J21" s="115">
        <f>I21/750*1000</f>
        <v>1.7333333333333334</v>
      </c>
      <c r="K21" s="111" t="s">
        <v>376</v>
      </c>
      <c r="L21" s="5">
        <v>1.12</v>
      </c>
      <c r="M21" s="115">
        <f>L21/750*1000</f>
        <v>1.4933333333333334</v>
      </c>
      <c r="N21" s="9"/>
      <c r="P21" s="111"/>
      <c r="Q21" s="116">
        <v>36</v>
      </c>
      <c r="R21" s="137"/>
      <c r="S21" s="138">
        <f t="shared" si="0"/>
        <v>45.599999999999994</v>
      </c>
      <c r="T21" s="138">
        <f t="shared" si="4"/>
        <v>40.8</v>
      </c>
      <c r="U21" s="139">
        <f t="shared" si="2"/>
        <v>62.400000000000006</v>
      </c>
      <c r="V21" s="140">
        <f t="shared" si="3"/>
        <v>53.760000000000005</v>
      </c>
    </row>
    <row r="22" spans="1:22" s="28" customFormat="1" ht="31.5">
      <c r="A22" s="109" t="s">
        <v>58</v>
      </c>
      <c r="B22" s="111" t="s">
        <v>269</v>
      </c>
      <c r="C22" s="6">
        <v>1.23</v>
      </c>
      <c r="D22" s="54">
        <f>C22/750*1000</f>
        <v>1.64</v>
      </c>
      <c r="E22" s="111" t="s">
        <v>302</v>
      </c>
      <c r="F22" s="5">
        <v>0.95</v>
      </c>
      <c r="G22" s="54">
        <f>F22/500*1000</f>
        <v>1.9</v>
      </c>
      <c r="H22" s="111" t="s">
        <v>345</v>
      </c>
      <c r="I22" s="5">
        <v>0.92</v>
      </c>
      <c r="J22" s="54">
        <f>I22/1</f>
        <v>0.92</v>
      </c>
      <c r="K22" s="111" t="s">
        <v>377</v>
      </c>
      <c r="L22" s="5">
        <v>0.93</v>
      </c>
      <c r="M22" s="54">
        <f>L22/500*1000</f>
        <v>1.86</v>
      </c>
      <c r="N22" s="9"/>
      <c r="P22" s="111"/>
      <c r="Q22" s="116"/>
      <c r="R22" s="137"/>
      <c r="S22" s="138">
        <f t="shared" si="0"/>
        <v>0</v>
      </c>
      <c r="T22" s="138">
        <f t="shared" si="4"/>
        <v>0</v>
      </c>
      <c r="U22" s="139">
        <f t="shared" si="2"/>
        <v>0</v>
      </c>
      <c r="V22" s="140">
        <f t="shared" si="3"/>
        <v>0</v>
      </c>
    </row>
    <row r="23" spans="1:22" s="28" customFormat="1" ht="29.25" customHeight="1">
      <c r="A23" s="109" t="s">
        <v>190</v>
      </c>
      <c r="B23" s="111" t="s">
        <v>270</v>
      </c>
      <c r="C23" s="6">
        <v>1.45</v>
      </c>
      <c r="D23" s="54">
        <f>C23/1</f>
        <v>1.45</v>
      </c>
      <c r="E23" s="111" t="s">
        <v>303</v>
      </c>
      <c r="F23" s="5">
        <v>1.26</v>
      </c>
      <c r="G23" s="54">
        <f>F23/750*1000</f>
        <v>1.6800000000000002</v>
      </c>
      <c r="H23" s="111" t="s">
        <v>270</v>
      </c>
      <c r="I23" s="5">
        <v>1.32</v>
      </c>
      <c r="J23" s="54">
        <f>I23/1</f>
        <v>1.32</v>
      </c>
      <c r="K23" s="111" t="s">
        <v>378</v>
      </c>
      <c r="L23" s="5">
        <v>1.36</v>
      </c>
      <c r="M23" s="54">
        <f>L23/1</f>
        <v>1.36</v>
      </c>
      <c r="N23" s="9"/>
      <c r="P23" s="111"/>
      <c r="Q23" s="116"/>
      <c r="R23" s="137"/>
      <c r="S23" s="138">
        <f t="shared" si="0"/>
        <v>0</v>
      </c>
      <c r="T23" s="138">
        <f t="shared" si="4"/>
        <v>0</v>
      </c>
      <c r="U23" s="139">
        <f t="shared" si="2"/>
        <v>0</v>
      </c>
      <c r="V23" s="140">
        <f t="shared" si="3"/>
        <v>0</v>
      </c>
    </row>
    <row r="24" spans="1:22" s="28" customFormat="1" ht="38.25">
      <c r="A24" s="109" t="s">
        <v>191</v>
      </c>
      <c r="B24" s="111" t="s">
        <v>271</v>
      </c>
      <c r="C24" s="6">
        <v>0.31</v>
      </c>
      <c r="D24" s="54">
        <f>C24/1</f>
        <v>0.31</v>
      </c>
      <c r="E24" s="111" t="s">
        <v>304</v>
      </c>
      <c r="F24" s="5">
        <v>0.33</v>
      </c>
      <c r="G24" s="54">
        <f>F24/1</f>
        <v>0.33</v>
      </c>
      <c r="H24" s="111" t="s">
        <v>346</v>
      </c>
      <c r="I24" s="5">
        <v>0.4</v>
      </c>
      <c r="J24" s="54">
        <f>I24/1</f>
        <v>0.4</v>
      </c>
      <c r="K24" s="111" t="s">
        <v>379</v>
      </c>
      <c r="L24" s="5">
        <v>0.49</v>
      </c>
      <c r="M24" s="54">
        <f>L24/1</f>
        <v>0.49</v>
      </c>
      <c r="N24" s="9"/>
      <c r="P24" s="111"/>
      <c r="Q24" s="116">
        <v>36</v>
      </c>
      <c r="R24" s="137"/>
      <c r="S24" s="138">
        <f t="shared" si="0"/>
        <v>11.16</v>
      </c>
      <c r="T24" s="138">
        <f t="shared" si="4"/>
        <v>11.88</v>
      </c>
      <c r="U24" s="139">
        <f t="shared" si="2"/>
        <v>14.4</v>
      </c>
      <c r="V24" s="140">
        <f t="shared" si="3"/>
        <v>17.64</v>
      </c>
    </row>
    <row r="25" spans="1:22" s="28" customFormat="1" ht="25.5">
      <c r="A25" s="109" t="s">
        <v>192</v>
      </c>
      <c r="B25" s="111" t="s">
        <v>272</v>
      </c>
      <c r="C25" s="6">
        <v>0.68</v>
      </c>
      <c r="D25" s="115">
        <f>C25/2</f>
        <v>0.34</v>
      </c>
      <c r="E25" s="111" t="s">
        <v>305</v>
      </c>
      <c r="F25" s="5">
        <v>1.4</v>
      </c>
      <c r="G25" s="54">
        <f>F25/4</f>
        <v>0.35</v>
      </c>
      <c r="H25" s="111" t="s">
        <v>347</v>
      </c>
      <c r="I25" s="5">
        <v>0.64</v>
      </c>
      <c r="J25" s="54">
        <f>I25/2</f>
        <v>0.32</v>
      </c>
      <c r="K25" s="111" t="s">
        <v>380</v>
      </c>
      <c r="L25" s="5">
        <v>0.67</v>
      </c>
      <c r="M25" s="54">
        <f>L25/2</f>
        <v>0.335</v>
      </c>
      <c r="N25" s="9"/>
      <c r="P25" s="111"/>
      <c r="Q25" s="116">
        <v>96</v>
      </c>
      <c r="R25" s="137"/>
      <c r="S25" s="138">
        <f t="shared" si="0"/>
        <v>32.64</v>
      </c>
      <c r="T25" s="138">
        <f t="shared" si="4"/>
        <v>33.599999999999994</v>
      </c>
      <c r="U25" s="139">
        <f t="shared" si="2"/>
        <v>30.72</v>
      </c>
      <c r="V25" s="140">
        <f t="shared" si="3"/>
        <v>32.160000000000004</v>
      </c>
    </row>
    <row r="26" spans="1:22" s="28" customFormat="1" ht="30.75" customHeight="1">
      <c r="A26" s="109" t="s">
        <v>193</v>
      </c>
      <c r="B26" s="116" t="s">
        <v>273</v>
      </c>
      <c r="C26" s="6">
        <f>D26*5</f>
        <v>18.25</v>
      </c>
      <c r="D26" s="54">
        <v>3.65</v>
      </c>
      <c r="E26" s="113" t="s">
        <v>306</v>
      </c>
      <c r="F26" s="5">
        <v>7.5</v>
      </c>
      <c r="G26" s="54">
        <f>F26/5</f>
        <v>1.5</v>
      </c>
      <c r="H26" s="113" t="s">
        <v>348</v>
      </c>
      <c r="I26" s="5">
        <v>1.82</v>
      </c>
      <c r="J26" s="54">
        <f>I26/4</f>
        <v>0.455</v>
      </c>
      <c r="K26" s="111" t="s">
        <v>379</v>
      </c>
      <c r="L26" s="5">
        <v>6.95</v>
      </c>
      <c r="M26" s="54">
        <f>L26/1</f>
        <v>6.95</v>
      </c>
      <c r="N26" s="9"/>
      <c r="P26" s="111"/>
      <c r="Q26" s="116"/>
      <c r="R26" s="137"/>
      <c r="S26" s="138">
        <f t="shared" si="0"/>
        <v>0</v>
      </c>
      <c r="T26" s="138">
        <f t="shared" si="4"/>
        <v>0</v>
      </c>
      <c r="U26" s="139">
        <f t="shared" si="2"/>
        <v>0</v>
      </c>
      <c r="V26" s="140">
        <f t="shared" si="3"/>
        <v>0</v>
      </c>
    </row>
    <row r="27" spans="1:22" s="28" customFormat="1" ht="38.25" customHeight="1">
      <c r="A27" s="227" t="s">
        <v>194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9"/>
      <c r="P27" s="111"/>
      <c r="Q27" s="116"/>
      <c r="R27" s="137"/>
      <c r="S27" s="138">
        <f t="shared" si="0"/>
        <v>0</v>
      </c>
      <c r="T27" s="138">
        <f t="shared" si="4"/>
        <v>0</v>
      </c>
      <c r="U27" s="139">
        <f t="shared" si="2"/>
        <v>0</v>
      </c>
      <c r="V27" s="140">
        <f t="shared" si="3"/>
        <v>0</v>
      </c>
    </row>
    <row r="28" spans="1:22" s="28" customFormat="1" ht="31.5">
      <c r="A28" s="109" t="s">
        <v>195</v>
      </c>
      <c r="B28" s="111" t="s">
        <v>274</v>
      </c>
      <c r="C28" s="6">
        <v>2.85</v>
      </c>
      <c r="D28" s="54">
        <f>C28/5</f>
        <v>0.5700000000000001</v>
      </c>
      <c r="E28" s="113" t="s">
        <v>307</v>
      </c>
      <c r="F28" s="5">
        <v>1.8</v>
      </c>
      <c r="G28" s="54">
        <f>F28/4</f>
        <v>0.45</v>
      </c>
      <c r="H28" s="113" t="s">
        <v>349</v>
      </c>
      <c r="I28" s="5">
        <v>2.9</v>
      </c>
      <c r="J28" s="54">
        <f>I28/5</f>
        <v>0.58</v>
      </c>
      <c r="K28" s="111" t="s">
        <v>375</v>
      </c>
      <c r="L28" s="61">
        <v>3.46</v>
      </c>
      <c r="M28" s="115">
        <f>L28/5</f>
        <v>0.692</v>
      </c>
      <c r="N28" s="9"/>
      <c r="P28" s="111"/>
      <c r="Q28" s="116">
        <v>40</v>
      </c>
      <c r="R28" s="137"/>
      <c r="S28" s="138">
        <f t="shared" si="0"/>
        <v>22.800000000000004</v>
      </c>
      <c r="T28" s="138">
        <f t="shared" si="4"/>
        <v>18</v>
      </c>
      <c r="U28" s="139">
        <f t="shared" si="2"/>
        <v>23.2</v>
      </c>
      <c r="V28" s="140">
        <f t="shared" si="3"/>
        <v>27.68</v>
      </c>
    </row>
    <row r="29" spans="1:22" s="28" customFormat="1" ht="31.5">
      <c r="A29" s="109" t="s">
        <v>196</v>
      </c>
      <c r="B29" s="111" t="s">
        <v>275</v>
      </c>
      <c r="C29" s="6">
        <v>5.03</v>
      </c>
      <c r="D29" s="54">
        <f>C29/5</f>
        <v>1.006</v>
      </c>
      <c r="E29" s="111" t="s">
        <v>308</v>
      </c>
      <c r="F29" s="5">
        <v>4</v>
      </c>
      <c r="G29" s="54">
        <f>F29/5</f>
        <v>0.8</v>
      </c>
      <c r="H29" s="111" t="s">
        <v>350</v>
      </c>
      <c r="I29" s="5">
        <v>4.45</v>
      </c>
      <c r="J29" s="54">
        <f>I29/5</f>
        <v>0.89</v>
      </c>
      <c r="K29" s="111" t="s">
        <v>381</v>
      </c>
      <c r="L29" s="6">
        <v>8.48</v>
      </c>
      <c r="M29" s="115">
        <f>L29/5</f>
        <v>1.6960000000000002</v>
      </c>
      <c r="N29" s="9"/>
      <c r="P29" s="111"/>
      <c r="Q29" s="116">
        <v>40</v>
      </c>
      <c r="R29" s="137"/>
      <c r="S29" s="138">
        <f t="shared" si="0"/>
        <v>40.24</v>
      </c>
      <c r="T29" s="138">
        <f t="shared" si="4"/>
        <v>32</v>
      </c>
      <c r="U29" s="139">
        <f t="shared" si="2"/>
        <v>35.6</v>
      </c>
      <c r="V29" s="140">
        <f t="shared" si="3"/>
        <v>67.84</v>
      </c>
    </row>
    <row r="30" spans="1:22" s="28" customFormat="1" ht="47.25">
      <c r="A30" s="109" t="s">
        <v>197</v>
      </c>
      <c r="B30" s="111" t="s">
        <v>276</v>
      </c>
      <c r="C30" s="6">
        <v>1.7</v>
      </c>
      <c r="D30" s="54">
        <f>C30/750*1000</f>
        <v>2.2666666666666666</v>
      </c>
      <c r="E30" s="111" t="s">
        <v>309</v>
      </c>
      <c r="F30" s="5">
        <v>1.2</v>
      </c>
      <c r="G30" s="54">
        <f>F30/750*1000</f>
        <v>1.5999999999999999</v>
      </c>
      <c r="H30" s="111" t="s">
        <v>351</v>
      </c>
      <c r="I30" s="5">
        <v>1.09</v>
      </c>
      <c r="J30" s="54">
        <f>I30/750*1000</f>
        <v>1.4533333333333334</v>
      </c>
      <c r="K30" s="111" t="s">
        <v>376</v>
      </c>
      <c r="L30" s="6">
        <v>1.33</v>
      </c>
      <c r="M30" s="54">
        <f>L30/750*1000</f>
        <v>1.7733333333333334</v>
      </c>
      <c r="N30" s="29"/>
      <c r="P30" s="111"/>
      <c r="Q30" s="116">
        <v>18</v>
      </c>
      <c r="R30" s="137"/>
      <c r="S30" s="138">
        <f t="shared" si="0"/>
        <v>40.8</v>
      </c>
      <c r="T30" s="138">
        <f t="shared" si="4"/>
        <v>28.799999999999997</v>
      </c>
      <c r="U30" s="139">
        <f t="shared" si="2"/>
        <v>26.16</v>
      </c>
      <c r="V30" s="140">
        <f t="shared" si="3"/>
        <v>31.92</v>
      </c>
    </row>
    <row r="31" spans="1:22" s="28" customFormat="1" ht="31.5">
      <c r="A31" s="109" t="s">
        <v>198</v>
      </c>
      <c r="B31" s="111" t="s">
        <v>277</v>
      </c>
      <c r="C31" s="7">
        <v>1.03</v>
      </c>
      <c r="D31" s="54">
        <f>C31/750*1000</f>
        <v>1.3733333333333333</v>
      </c>
      <c r="E31" s="111" t="s">
        <v>310</v>
      </c>
      <c r="F31" s="5">
        <v>1.2</v>
      </c>
      <c r="G31" s="54">
        <f>F31/750*1000</f>
        <v>1.5999999999999999</v>
      </c>
      <c r="H31" s="111" t="s">
        <v>352</v>
      </c>
      <c r="I31" s="5">
        <v>0.95</v>
      </c>
      <c r="J31" s="54">
        <f>I31/750*1000</f>
        <v>1.2666666666666666</v>
      </c>
      <c r="K31" s="111" t="s">
        <v>376</v>
      </c>
      <c r="L31" s="5">
        <v>0.89</v>
      </c>
      <c r="M31" s="54">
        <f>L31/750*1000</f>
        <v>1.1866666666666665</v>
      </c>
      <c r="N31" s="29"/>
      <c r="P31" s="116"/>
      <c r="Q31" s="116"/>
      <c r="R31" s="137"/>
      <c r="S31" s="138">
        <f t="shared" si="0"/>
        <v>0</v>
      </c>
      <c r="T31" s="138">
        <f t="shared" si="4"/>
        <v>0</v>
      </c>
      <c r="U31" s="139">
        <f t="shared" si="2"/>
        <v>0</v>
      </c>
      <c r="V31" s="140">
        <f t="shared" si="3"/>
        <v>0</v>
      </c>
    </row>
    <row r="32" spans="1:22" s="28" customFormat="1" ht="31.5">
      <c r="A32" s="109" t="s">
        <v>255</v>
      </c>
      <c r="B32" s="111" t="s">
        <v>278</v>
      </c>
      <c r="C32" s="7">
        <v>3.68</v>
      </c>
      <c r="D32" s="117">
        <f>C32/5</f>
        <v>0.736</v>
      </c>
      <c r="E32" s="111" t="s">
        <v>311</v>
      </c>
      <c r="F32" s="5">
        <v>4.5</v>
      </c>
      <c r="G32" s="54">
        <f>F32/5</f>
        <v>0.9</v>
      </c>
      <c r="H32" s="111" t="s">
        <v>353</v>
      </c>
      <c r="I32" s="5">
        <v>3.15</v>
      </c>
      <c r="J32" s="54">
        <f>I32/5</f>
        <v>0.63</v>
      </c>
      <c r="K32" s="111" t="s">
        <v>381</v>
      </c>
      <c r="L32" s="6">
        <v>3.78</v>
      </c>
      <c r="M32" s="115">
        <f>L32/5</f>
        <v>0.756</v>
      </c>
      <c r="P32" s="111"/>
      <c r="Q32" s="116"/>
      <c r="R32" s="137"/>
      <c r="S32" s="138">
        <f t="shared" si="0"/>
        <v>0</v>
      </c>
      <c r="T32" s="138">
        <f t="shared" si="4"/>
        <v>0</v>
      </c>
      <c r="U32" s="139">
        <f t="shared" si="2"/>
        <v>0</v>
      </c>
      <c r="V32" s="140">
        <f t="shared" si="3"/>
        <v>0</v>
      </c>
    </row>
    <row r="33" spans="1:22" s="28" customFormat="1" ht="38.25">
      <c r="A33" s="109" t="s">
        <v>199</v>
      </c>
      <c r="B33" s="111" t="s">
        <v>279</v>
      </c>
      <c r="C33" s="7">
        <v>6.95</v>
      </c>
      <c r="D33" s="117">
        <f>C33/5</f>
        <v>1.3900000000000001</v>
      </c>
      <c r="E33" s="111" t="s">
        <v>312</v>
      </c>
      <c r="F33" s="5">
        <v>7.5</v>
      </c>
      <c r="G33" s="54">
        <f>F33/5</f>
        <v>1.5</v>
      </c>
      <c r="H33" s="111" t="s">
        <v>354</v>
      </c>
      <c r="I33" s="5">
        <v>3</v>
      </c>
      <c r="J33" s="54">
        <f>I33/4</f>
        <v>0.75</v>
      </c>
      <c r="K33" s="111" t="s">
        <v>375</v>
      </c>
      <c r="L33" s="61">
        <v>8.48</v>
      </c>
      <c r="M33" s="115">
        <f>L33/5</f>
        <v>1.6960000000000002</v>
      </c>
      <c r="P33" s="140"/>
      <c r="Q33" s="116"/>
      <c r="R33" s="137"/>
      <c r="S33" s="138">
        <f t="shared" si="0"/>
        <v>0</v>
      </c>
      <c r="T33" s="138">
        <f t="shared" si="4"/>
        <v>0</v>
      </c>
      <c r="U33" s="139">
        <f t="shared" si="2"/>
        <v>0</v>
      </c>
      <c r="V33" s="140">
        <f t="shared" si="3"/>
        <v>0</v>
      </c>
    </row>
    <row r="34" spans="1:22" s="28" customFormat="1" ht="38.25">
      <c r="A34" s="109" t="s">
        <v>200</v>
      </c>
      <c r="B34" s="111" t="s">
        <v>280</v>
      </c>
      <c r="C34" s="7">
        <v>1.73</v>
      </c>
      <c r="D34" s="118">
        <f>C34/750*1000</f>
        <v>2.3066666666666666</v>
      </c>
      <c r="E34" s="111" t="s">
        <v>313</v>
      </c>
      <c r="F34" s="5">
        <v>2.2</v>
      </c>
      <c r="G34" s="54">
        <f>F34/300*1000</f>
        <v>7.333333333333334</v>
      </c>
      <c r="H34" s="111" t="s">
        <v>355</v>
      </c>
      <c r="I34" s="5">
        <v>1.1</v>
      </c>
      <c r="J34" s="54">
        <f>I34/300*1000</f>
        <v>3.666666666666667</v>
      </c>
      <c r="K34" s="111" t="s">
        <v>382</v>
      </c>
      <c r="L34" s="5">
        <v>4.92</v>
      </c>
      <c r="M34" s="115">
        <f>L34/750*1000</f>
        <v>6.56</v>
      </c>
      <c r="P34" s="140"/>
      <c r="Q34" s="116"/>
      <c r="R34" s="137"/>
      <c r="S34" s="138">
        <f t="shared" si="0"/>
        <v>0</v>
      </c>
      <c r="T34" s="138">
        <f t="shared" si="4"/>
        <v>0</v>
      </c>
      <c r="U34" s="139">
        <f t="shared" si="2"/>
        <v>0</v>
      </c>
      <c r="V34" s="140">
        <f t="shared" si="3"/>
        <v>0</v>
      </c>
    </row>
    <row r="35" spans="1:22" s="28" customFormat="1" ht="15.75">
      <c r="A35" s="227" t="s">
        <v>201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P35" s="116"/>
      <c r="Q35" s="116"/>
      <c r="R35" s="137"/>
      <c r="S35" s="138">
        <f t="shared" si="0"/>
        <v>0</v>
      </c>
      <c r="T35" s="138">
        <f t="shared" si="4"/>
        <v>0</v>
      </c>
      <c r="U35" s="139">
        <f t="shared" si="2"/>
        <v>0</v>
      </c>
      <c r="V35" s="140">
        <f t="shared" si="3"/>
        <v>0</v>
      </c>
    </row>
    <row r="36" spans="1:22" s="28" customFormat="1" ht="25.5">
      <c r="A36" s="109" t="s">
        <v>202</v>
      </c>
      <c r="B36" s="111" t="s">
        <v>281</v>
      </c>
      <c r="C36" s="7">
        <v>2.99</v>
      </c>
      <c r="D36" s="117">
        <f>C36/5</f>
        <v>0.5980000000000001</v>
      </c>
      <c r="E36" s="111" t="s">
        <v>314</v>
      </c>
      <c r="F36" s="5">
        <f>G36*4</f>
        <v>1.84</v>
      </c>
      <c r="G36" s="54">
        <v>0.46</v>
      </c>
      <c r="H36" s="111" t="s">
        <v>356</v>
      </c>
      <c r="I36" s="5">
        <v>2.6</v>
      </c>
      <c r="J36" s="54">
        <f>I36/5</f>
        <v>0.52</v>
      </c>
      <c r="K36" s="111" t="s">
        <v>375</v>
      </c>
      <c r="L36" s="61">
        <v>3.1</v>
      </c>
      <c r="M36" s="115">
        <f>L36/5</f>
        <v>0.62</v>
      </c>
      <c r="P36" s="140"/>
      <c r="Q36" s="116"/>
      <c r="R36" s="137"/>
      <c r="S36" s="138">
        <f t="shared" si="0"/>
        <v>0</v>
      </c>
      <c r="T36" s="138">
        <f t="shared" si="4"/>
        <v>0</v>
      </c>
      <c r="U36" s="139">
        <f t="shared" si="2"/>
        <v>0</v>
      </c>
      <c r="V36" s="140">
        <f t="shared" si="3"/>
        <v>0</v>
      </c>
    </row>
    <row r="37" spans="1:22" s="28" customFormat="1" ht="31.5">
      <c r="A37" s="109" t="s">
        <v>256</v>
      </c>
      <c r="B37" s="111" t="s">
        <v>282</v>
      </c>
      <c r="C37" s="7">
        <v>18.1</v>
      </c>
      <c r="D37" s="117">
        <f>C37/12</f>
        <v>1.5083333333333335</v>
      </c>
      <c r="E37" s="116" t="s">
        <v>315</v>
      </c>
      <c r="F37" s="5">
        <v>12</v>
      </c>
      <c r="G37" s="54">
        <f>F37/12</f>
        <v>1</v>
      </c>
      <c r="H37" s="111" t="s">
        <v>357</v>
      </c>
      <c r="I37" s="5">
        <v>12.5</v>
      </c>
      <c r="J37" s="54">
        <f>I37/12</f>
        <v>1.0416666666666667</v>
      </c>
      <c r="K37" s="111" t="s">
        <v>381</v>
      </c>
      <c r="L37" s="6">
        <v>6.3</v>
      </c>
      <c r="M37" s="115">
        <f>L37/5</f>
        <v>1.26</v>
      </c>
      <c r="P37" s="140"/>
      <c r="Q37" s="116"/>
      <c r="R37" s="137"/>
      <c r="S37" s="138">
        <f t="shared" si="0"/>
        <v>0</v>
      </c>
      <c r="T37" s="138">
        <f t="shared" si="4"/>
        <v>0</v>
      </c>
      <c r="U37" s="139">
        <f t="shared" si="2"/>
        <v>0</v>
      </c>
      <c r="V37" s="140">
        <f t="shared" si="3"/>
        <v>0</v>
      </c>
    </row>
    <row r="38" spans="1:22" s="28" customFormat="1" ht="31.5">
      <c r="A38" s="109" t="s">
        <v>257</v>
      </c>
      <c r="B38" s="111" t="s">
        <v>283</v>
      </c>
      <c r="C38" s="7">
        <v>14.1</v>
      </c>
      <c r="D38" s="117">
        <f>C38/10</f>
        <v>1.41</v>
      </c>
      <c r="E38" s="116" t="s">
        <v>316</v>
      </c>
      <c r="F38" s="5">
        <v>13</v>
      </c>
      <c r="G38" s="54">
        <f>F38/10</f>
        <v>1.3</v>
      </c>
      <c r="H38" s="111" t="s">
        <v>358</v>
      </c>
      <c r="I38" s="5">
        <v>13.8</v>
      </c>
      <c r="J38" s="54">
        <f>I38/12</f>
        <v>1.1500000000000001</v>
      </c>
      <c r="K38" s="111" t="s">
        <v>381</v>
      </c>
      <c r="L38" s="6">
        <v>5.25</v>
      </c>
      <c r="M38" s="115">
        <f>L38/5</f>
        <v>1.05</v>
      </c>
      <c r="P38" s="116"/>
      <c r="Q38" s="116"/>
      <c r="R38" s="137"/>
      <c r="S38" s="138">
        <f t="shared" si="0"/>
        <v>0</v>
      </c>
      <c r="T38" s="138">
        <f t="shared" si="4"/>
        <v>0</v>
      </c>
      <c r="U38" s="139">
        <f t="shared" si="2"/>
        <v>0</v>
      </c>
      <c r="V38" s="140">
        <f t="shared" si="3"/>
        <v>0</v>
      </c>
    </row>
    <row r="39" spans="1:22" s="28" customFormat="1" ht="30.75" customHeight="1">
      <c r="A39" s="109" t="s">
        <v>203</v>
      </c>
      <c r="B39" s="111" t="s">
        <v>284</v>
      </c>
      <c r="C39" s="7">
        <v>2.15</v>
      </c>
      <c r="D39" s="117">
        <f>C39/750*1000</f>
        <v>2.8666666666666667</v>
      </c>
      <c r="E39" s="111" t="s">
        <v>317</v>
      </c>
      <c r="F39" s="5">
        <v>1.5</v>
      </c>
      <c r="G39" s="54">
        <f>F39/500*1000</f>
        <v>3</v>
      </c>
      <c r="H39" s="129" t="s">
        <v>359</v>
      </c>
      <c r="I39" s="5">
        <v>1.89</v>
      </c>
      <c r="J39" s="54">
        <f>I39/1</f>
        <v>1.89</v>
      </c>
      <c r="K39" s="111" t="s">
        <v>383</v>
      </c>
      <c r="L39" s="5">
        <v>0.89</v>
      </c>
      <c r="M39" s="115">
        <f>L39/750*1000</f>
        <v>1.1866666666666665</v>
      </c>
      <c r="P39" s="140"/>
      <c r="Q39" s="116"/>
      <c r="R39" s="137"/>
      <c r="S39" s="138">
        <f aca="true" t="shared" si="5" ref="S39:S70">Q39*D39</f>
        <v>0</v>
      </c>
      <c r="T39" s="138">
        <f t="shared" si="4"/>
        <v>0</v>
      </c>
      <c r="U39" s="139">
        <f aca="true" t="shared" si="6" ref="U39:U70">Q39*J39</f>
        <v>0</v>
      </c>
      <c r="V39" s="140">
        <f aca="true" t="shared" si="7" ref="V39:V70">Q39*M39</f>
        <v>0</v>
      </c>
    </row>
    <row r="40" spans="1:22" s="28" customFormat="1" ht="38.25">
      <c r="A40" s="109" t="s">
        <v>204</v>
      </c>
      <c r="B40" s="111" t="s">
        <v>285</v>
      </c>
      <c r="C40" s="7">
        <v>4.25</v>
      </c>
      <c r="D40" s="117">
        <f>C40/4</f>
        <v>1.0625</v>
      </c>
      <c r="E40" s="111" t="s">
        <v>318</v>
      </c>
      <c r="F40" s="5">
        <v>5</v>
      </c>
      <c r="G40" s="54">
        <f>F40/5</f>
        <v>1</v>
      </c>
      <c r="H40" s="111" t="s">
        <v>360</v>
      </c>
      <c r="I40" s="5">
        <v>2.39</v>
      </c>
      <c r="J40" s="54">
        <f>I40/4</f>
        <v>0.5975</v>
      </c>
      <c r="K40" s="111" t="s">
        <v>384</v>
      </c>
      <c r="L40" s="5">
        <v>3.39</v>
      </c>
      <c r="M40" s="54">
        <f>L40/3</f>
        <v>1.1300000000000001</v>
      </c>
      <c r="P40" s="140"/>
      <c r="Q40" s="116"/>
      <c r="R40" s="137"/>
      <c r="S40" s="138">
        <f t="shared" si="5"/>
        <v>0</v>
      </c>
      <c r="T40" s="138">
        <f t="shared" si="4"/>
        <v>0</v>
      </c>
      <c r="U40" s="139">
        <f t="shared" si="6"/>
        <v>0</v>
      </c>
      <c r="V40" s="140">
        <f t="shared" si="7"/>
        <v>0</v>
      </c>
    </row>
    <row r="41" spans="1:22" s="28" customFormat="1" ht="25.5">
      <c r="A41" s="109" t="s">
        <v>258</v>
      </c>
      <c r="B41" s="111" t="s">
        <v>286</v>
      </c>
      <c r="C41" s="7">
        <f>D41*20</f>
        <v>25</v>
      </c>
      <c r="D41" s="117">
        <v>1.25</v>
      </c>
      <c r="E41" s="111" t="s">
        <v>319</v>
      </c>
      <c r="F41" s="5">
        <f>G41*5.538</f>
        <v>8.030100000000001</v>
      </c>
      <c r="G41" s="54">
        <v>1.45</v>
      </c>
      <c r="H41" s="129" t="s">
        <v>361</v>
      </c>
      <c r="I41" s="5">
        <v>0.79</v>
      </c>
      <c r="J41" s="54">
        <f>I41/1</f>
        <v>0.79</v>
      </c>
      <c r="K41" s="113" t="s">
        <v>385</v>
      </c>
      <c r="L41" s="5">
        <v>10.65</v>
      </c>
      <c r="M41" s="54">
        <f>L41/8</f>
        <v>1.33125</v>
      </c>
      <c r="P41" s="140"/>
      <c r="Q41" s="116"/>
      <c r="R41" s="137"/>
      <c r="S41" s="138">
        <f t="shared" si="5"/>
        <v>0</v>
      </c>
      <c r="T41" s="138">
        <f t="shared" si="4"/>
        <v>0</v>
      </c>
      <c r="U41" s="139">
        <f t="shared" si="6"/>
        <v>0</v>
      </c>
      <c r="V41" s="140">
        <f t="shared" si="7"/>
        <v>0</v>
      </c>
    </row>
    <row r="42" spans="1:22" s="28" customFormat="1" ht="38.25">
      <c r="A42" s="109" t="s">
        <v>205</v>
      </c>
      <c r="B42" s="111" t="s">
        <v>287</v>
      </c>
      <c r="C42" s="7">
        <f>D42*5.1</f>
        <v>6.119999999999999</v>
      </c>
      <c r="D42" s="117">
        <v>1.2</v>
      </c>
      <c r="E42" s="111" t="s">
        <v>320</v>
      </c>
      <c r="F42" s="5">
        <v>1</v>
      </c>
      <c r="G42" s="54">
        <f>F42/600*1000</f>
        <v>1.6666666666666667</v>
      </c>
      <c r="H42" s="111" t="s">
        <v>362</v>
      </c>
      <c r="I42" s="5">
        <v>1.99</v>
      </c>
      <c r="J42" s="54">
        <f>I42/1</f>
        <v>1.99</v>
      </c>
      <c r="K42" s="111" t="s">
        <v>386</v>
      </c>
      <c r="L42" s="5">
        <v>0.56</v>
      </c>
      <c r="M42" s="54">
        <f>L42/260*1000</f>
        <v>2.153846153846154</v>
      </c>
      <c r="P42" s="140"/>
      <c r="Q42" s="116"/>
      <c r="R42" s="137"/>
      <c r="S42" s="138">
        <f t="shared" si="5"/>
        <v>0</v>
      </c>
      <c r="T42" s="138">
        <f t="shared" si="4"/>
        <v>0</v>
      </c>
      <c r="U42" s="139">
        <f t="shared" si="6"/>
        <v>0</v>
      </c>
      <c r="V42" s="140">
        <f t="shared" si="7"/>
        <v>0</v>
      </c>
    </row>
    <row r="43" spans="1:22" s="28" customFormat="1" ht="15.75">
      <c r="A43" s="227" t="s">
        <v>206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P43" s="140"/>
      <c r="Q43" s="116"/>
      <c r="R43" s="137"/>
      <c r="S43" s="138">
        <f t="shared" si="5"/>
        <v>0</v>
      </c>
      <c r="T43" s="138">
        <f t="shared" si="4"/>
        <v>0</v>
      </c>
      <c r="U43" s="139">
        <f t="shared" si="6"/>
        <v>0</v>
      </c>
      <c r="V43" s="140">
        <f t="shared" si="7"/>
        <v>0</v>
      </c>
    </row>
    <row r="44" spans="1:22" s="28" customFormat="1" ht="15.75">
      <c r="A44" s="109" t="s">
        <v>61</v>
      </c>
      <c r="B44" s="111" t="s">
        <v>33</v>
      </c>
      <c r="C44" s="7">
        <v>0.49</v>
      </c>
      <c r="D44" s="117">
        <f>C44/1</f>
        <v>0.49</v>
      </c>
      <c r="E44" s="124" t="s">
        <v>322</v>
      </c>
      <c r="F44" s="125">
        <v>0.55</v>
      </c>
      <c r="G44" s="126">
        <f>F44/1</f>
        <v>0.55</v>
      </c>
      <c r="H44" s="124" t="s">
        <v>33</v>
      </c>
      <c r="I44" s="125">
        <v>0.55</v>
      </c>
      <c r="J44" s="126">
        <f>I44/1</f>
        <v>0.55</v>
      </c>
      <c r="K44" s="124" t="s">
        <v>387</v>
      </c>
      <c r="L44" s="125">
        <v>0.42</v>
      </c>
      <c r="M44" s="126">
        <f>L44/1</f>
        <v>0.42</v>
      </c>
      <c r="P44" s="140"/>
      <c r="Q44" s="116"/>
      <c r="R44" s="137"/>
      <c r="S44" s="138">
        <f t="shared" si="5"/>
        <v>0</v>
      </c>
      <c r="T44" s="138">
        <f t="shared" si="4"/>
        <v>0</v>
      </c>
      <c r="U44" s="139">
        <f t="shared" si="6"/>
        <v>0</v>
      </c>
      <c r="V44" s="140">
        <f t="shared" si="7"/>
        <v>0</v>
      </c>
    </row>
    <row r="45" spans="1:22" s="28" customFormat="1" ht="15.75">
      <c r="A45" s="109" t="s">
        <v>207</v>
      </c>
      <c r="B45" s="111" t="s">
        <v>288</v>
      </c>
      <c r="C45" s="7">
        <v>2.98</v>
      </c>
      <c r="D45" s="117">
        <f>C45/100</f>
        <v>0.0298</v>
      </c>
      <c r="E45" s="116" t="s">
        <v>323</v>
      </c>
      <c r="F45" s="5">
        <v>4</v>
      </c>
      <c r="G45" s="54">
        <f>F45/100</f>
        <v>0.04</v>
      </c>
      <c r="H45" s="116" t="s">
        <v>288</v>
      </c>
      <c r="I45" s="5">
        <v>4.4</v>
      </c>
      <c r="J45" s="54">
        <f>I45/100</f>
        <v>0.044000000000000004</v>
      </c>
      <c r="K45" s="116" t="s">
        <v>388</v>
      </c>
      <c r="L45" s="5">
        <v>3.77</v>
      </c>
      <c r="M45" s="115">
        <f>L45/100</f>
        <v>0.0377</v>
      </c>
      <c r="P45" s="133"/>
      <c r="Q45" s="116">
        <v>400</v>
      </c>
      <c r="R45" s="137"/>
      <c r="S45" s="138">
        <f t="shared" si="5"/>
        <v>11.92</v>
      </c>
      <c r="T45" s="138">
        <f t="shared" si="4"/>
        <v>16</v>
      </c>
      <c r="U45" s="141">
        <f t="shared" si="6"/>
        <v>17.6</v>
      </c>
      <c r="V45" s="140">
        <f t="shared" si="7"/>
        <v>15.079999999999998</v>
      </c>
    </row>
    <row r="46" spans="1:22" s="28" customFormat="1" ht="15.75">
      <c r="A46" s="109" t="s">
        <v>208</v>
      </c>
      <c r="B46" s="111" t="s">
        <v>93</v>
      </c>
      <c r="C46" s="7">
        <v>0.35</v>
      </c>
      <c r="D46" s="117">
        <f>C46/3</f>
        <v>0.11666666666666665</v>
      </c>
      <c r="E46" s="116" t="s">
        <v>93</v>
      </c>
      <c r="F46" s="54">
        <f>G46*3</f>
        <v>0.5549999999999999</v>
      </c>
      <c r="G46" s="54">
        <v>0.185</v>
      </c>
      <c r="H46" s="116" t="s">
        <v>93</v>
      </c>
      <c r="I46" s="54">
        <v>0.49</v>
      </c>
      <c r="J46" s="54">
        <f>I46/3</f>
        <v>0.16333333333333333</v>
      </c>
      <c r="K46" s="116" t="s">
        <v>93</v>
      </c>
      <c r="L46" s="54">
        <v>0.6</v>
      </c>
      <c r="M46" s="54">
        <f>L46/3</f>
        <v>0.19999999999999998</v>
      </c>
      <c r="P46" s="140"/>
      <c r="Q46" s="116"/>
      <c r="R46" s="137"/>
      <c r="S46" s="138">
        <f t="shared" si="5"/>
        <v>0</v>
      </c>
      <c r="T46" s="138">
        <f t="shared" si="4"/>
        <v>0</v>
      </c>
      <c r="U46" s="139">
        <f t="shared" si="6"/>
        <v>0</v>
      </c>
      <c r="V46" s="140">
        <f t="shared" si="7"/>
        <v>0</v>
      </c>
    </row>
    <row r="47" spans="1:22" s="28" customFormat="1" ht="15.75">
      <c r="A47" s="109" t="s">
        <v>209</v>
      </c>
      <c r="B47" s="111" t="s">
        <v>93</v>
      </c>
      <c r="C47" s="7">
        <v>0.8</v>
      </c>
      <c r="D47" s="117">
        <f>C47/3</f>
        <v>0.26666666666666666</v>
      </c>
      <c r="E47" s="104" t="s">
        <v>93</v>
      </c>
      <c r="F47" s="54">
        <f>G47*3</f>
        <v>0.5700000000000001</v>
      </c>
      <c r="G47" s="54">
        <v>0.19</v>
      </c>
      <c r="H47" s="104" t="s">
        <v>35</v>
      </c>
      <c r="I47" s="54">
        <v>1.3</v>
      </c>
      <c r="J47" s="54">
        <f>I47/5</f>
        <v>0.26</v>
      </c>
      <c r="K47" s="104" t="s">
        <v>36</v>
      </c>
      <c r="L47" s="54">
        <v>2.9</v>
      </c>
      <c r="M47" s="54">
        <f>L47/10</f>
        <v>0.29</v>
      </c>
      <c r="P47" s="140"/>
      <c r="Q47" s="116"/>
      <c r="R47" s="137"/>
      <c r="S47" s="138">
        <f t="shared" si="5"/>
        <v>0</v>
      </c>
      <c r="T47" s="138">
        <f t="shared" si="4"/>
        <v>0</v>
      </c>
      <c r="U47" s="139">
        <f t="shared" si="6"/>
        <v>0</v>
      </c>
      <c r="V47" s="140">
        <f t="shared" si="7"/>
        <v>0</v>
      </c>
    </row>
    <row r="48" spans="1:22" s="28" customFormat="1" ht="31.5">
      <c r="A48" s="109" t="s">
        <v>210</v>
      </c>
      <c r="B48" s="111" t="s">
        <v>36</v>
      </c>
      <c r="C48" s="7">
        <v>4.5</v>
      </c>
      <c r="D48" s="117">
        <f>C48/10</f>
        <v>0.45</v>
      </c>
      <c r="E48" s="116" t="s">
        <v>324</v>
      </c>
      <c r="F48" s="54">
        <f>G48*4</f>
        <v>3.2</v>
      </c>
      <c r="G48" s="54">
        <v>0.8</v>
      </c>
      <c r="H48" s="116" t="s">
        <v>363</v>
      </c>
      <c r="I48" s="54">
        <v>0.99</v>
      </c>
      <c r="J48" s="54">
        <f>I48/2</f>
        <v>0.495</v>
      </c>
      <c r="K48" s="104" t="s">
        <v>36</v>
      </c>
      <c r="L48" s="54">
        <v>5.7</v>
      </c>
      <c r="M48" s="54">
        <f>L48/10</f>
        <v>0.5700000000000001</v>
      </c>
      <c r="P48" s="111"/>
      <c r="Q48" s="116"/>
      <c r="R48" s="137"/>
      <c r="S48" s="138">
        <f t="shared" si="5"/>
        <v>0</v>
      </c>
      <c r="T48" s="138">
        <f t="shared" si="4"/>
        <v>0</v>
      </c>
      <c r="U48" s="139">
        <f t="shared" si="6"/>
        <v>0</v>
      </c>
      <c r="V48" s="140">
        <f t="shared" si="7"/>
        <v>0</v>
      </c>
    </row>
    <row r="49" spans="1:22" s="28" customFormat="1" ht="15.75">
      <c r="A49" s="109" t="s">
        <v>211</v>
      </c>
      <c r="B49" s="111" t="s">
        <v>38</v>
      </c>
      <c r="C49" s="7">
        <v>0.4</v>
      </c>
      <c r="D49" s="117">
        <f>C49/1</f>
        <v>0.4</v>
      </c>
      <c r="E49" s="111" t="s">
        <v>152</v>
      </c>
      <c r="F49" s="54">
        <f>G49*2</f>
        <v>0.574</v>
      </c>
      <c r="G49" s="54">
        <v>0.287</v>
      </c>
      <c r="H49" s="111" t="s">
        <v>38</v>
      </c>
      <c r="I49" s="54">
        <v>0.55</v>
      </c>
      <c r="J49" s="54">
        <f>I49/1</f>
        <v>0.55</v>
      </c>
      <c r="K49" s="104" t="s">
        <v>37</v>
      </c>
      <c r="L49" s="54">
        <v>8.75</v>
      </c>
      <c r="M49" s="54">
        <f>L49/25</f>
        <v>0.35</v>
      </c>
      <c r="P49" s="140"/>
      <c r="Q49" s="116"/>
      <c r="R49" s="137"/>
      <c r="S49" s="138">
        <f t="shared" si="5"/>
        <v>0</v>
      </c>
      <c r="T49" s="138">
        <f t="shared" si="4"/>
        <v>0</v>
      </c>
      <c r="U49" s="139">
        <f t="shared" si="6"/>
        <v>0</v>
      </c>
      <c r="V49" s="140">
        <f t="shared" si="7"/>
        <v>0</v>
      </c>
    </row>
    <row r="50" spans="1:22" ht="15.75">
      <c r="A50" s="109" t="s">
        <v>212</v>
      </c>
      <c r="B50" s="111" t="s">
        <v>288</v>
      </c>
      <c r="C50" s="30">
        <v>2.95</v>
      </c>
      <c r="D50" s="119">
        <f>C50/100</f>
        <v>0.029500000000000002</v>
      </c>
      <c r="E50" s="116" t="s">
        <v>325</v>
      </c>
      <c r="F50" s="5">
        <v>2.8</v>
      </c>
      <c r="G50" s="54">
        <f>F50/100</f>
        <v>0.027999999999999997</v>
      </c>
      <c r="H50" s="116" t="s">
        <v>288</v>
      </c>
      <c r="I50" s="5">
        <v>3.7</v>
      </c>
      <c r="J50" s="54">
        <f>I50/100</f>
        <v>0.037000000000000005</v>
      </c>
      <c r="K50" s="104" t="s">
        <v>36</v>
      </c>
      <c r="L50" s="54">
        <v>11.3</v>
      </c>
      <c r="M50" s="54">
        <f>L50/10</f>
        <v>1.1300000000000001</v>
      </c>
      <c r="P50" s="140"/>
      <c r="Q50" s="140"/>
      <c r="R50" s="137"/>
      <c r="S50" s="138">
        <f t="shared" si="5"/>
        <v>0</v>
      </c>
      <c r="T50" s="138">
        <f t="shared" si="4"/>
        <v>0</v>
      </c>
      <c r="U50" s="139">
        <f t="shared" si="6"/>
        <v>0</v>
      </c>
      <c r="V50" s="140">
        <f t="shared" si="7"/>
        <v>0</v>
      </c>
    </row>
    <row r="51" spans="1:22" ht="25.5">
      <c r="A51" s="109" t="s">
        <v>12</v>
      </c>
      <c r="B51" s="111" t="s">
        <v>38</v>
      </c>
      <c r="C51" s="5">
        <v>0.98</v>
      </c>
      <c r="D51" s="117">
        <f>C51/1</f>
        <v>0.98</v>
      </c>
      <c r="E51" s="116" t="s">
        <v>38</v>
      </c>
      <c r="F51" s="5">
        <v>1.6</v>
      </c>
      <c r="G51" s="54">
        <f>F51/1</f>
        <v>1.6</v>
      </c>
      <c r="H51" s="116" t="s">
        <v>38</v>
      </c>
      <c r="I51" s="5">
        <v>0.9</v>
      </c>
      <c r="J51" s="54">
        <f aca="true" t="shared" si="8" ref="J51:J85">I51/1</f>
        <v>0.9</v>
      </c>
      <c r="K51" s="104" t="s">
        <v>389</v>
      </c>
      <c r="L51" s="54">
        <v>10.77</v>
      </c>
      <c r="M51" s="54">
        <f>L51/100</f>
        <v>0.10769999999999999</v>
      </c>
      <c r="P51" s="140"/>
      <c r="Q51" s="140"/>
      <c r="R51" s="137"/>
      <c r="S51" s="138">
        <f t="shared" si="5"/>
        <v>0</v>
      </c>
      <c r="T51" s="138">
        <f t="shared" si="4"/>
        <v>0</v>
      </c>
      <c r="U51" s="139">
        <f t="shared" si="6"/>
        <v>0</v>
      </c>
      <c r="V51" s="140">
        <f t="shared" si="7"/>
        <v>0</v>
      </c>
    </row>
    <row r="52" spans="1:22" ht="15.75">
      <c r="A52" s="109" t="s">
        <v>213</v>
      </c>
      <c r="B52" s="111" t="s">
        <v>36</v>
      </c>
      <c r="C52" s="30">
        <v>7.55</v>
      </c>
      <c r="D52" s="117">
        <f>C52/10</f>
        <v>0.755</v>
      </c>
      <c r="E52" s="111" t="s">
        <v>93</v>
      </c>
      <c r="F52" s="5">
        <v>2.4</v>
      </c>
      <c r="G52" s="54">
        <f>F52/3</f>
        <v>0.7999999999999999</v>
      </c>
      <c r="H52" s="111" t="s">
        <v>38</v>
      </c>
      <c r="I52" s="5">
        <v>0.65</v>
      </c>
      <c r="J52" s="54">
        <f t="shared" si="8"/>
        <v>0.65</v>
      </c>
      <c r="K52" s="104" t="s">
        <v>36</v>
      </c>
      <c r="L52" s="54">
        <v>6.8</v>
      </c>
      <c r="M52" s="54">
        <f>L52/10</f>
        <v>0.6799999999999999</v>
      </c>
      <c r="P52" s="140"/>
      <c r="Q52" s="140"/>
      <c r="R52" s="137"/>
      <c r="S52" s="138">
        <f t="shared" si="5"/>
        <v>0</v>
      </c>
      <c r="T52" s="138">
        <f t="shared" si="4"/>
        <v>0</v>
      </c>
      <c r="U52" s="139">
        <f t="shared" si="6"/>
        <v>0</v>
      </c>
      <c r="V52" s="140">
        <f t="shared" si="7"/>
        <v>0</v>
      </c>
    </row>
    <row r="53" spans="1:22" ht="15.75">
      <c r="A53" s="109" t="s">
        <v>214</v>
      </c>
      <c r="B53" s="111" t="s">
        <v>38</v>
      </c>
      <c r="C53" s="30">
        <v>0.39</v>
      </c>
      <c r="D53" s="117">
        <f aca="true" t="shared" si="9" ref="D53:D85">C53/1</f>
        <v>0.39</v>
      </c>
      <c r="E53" s="111" t="s">
        <v>37</v>
      </c>
      <c r="F53" s="30">
        <f>G53*25</f>
        <v>21.25</v>
      </c>
      <c r="G53" s="54">
        <v>0.85</v>
      </c>
      <c r="H53" s="111" t="s">
        <v>38</v>
      </c>
      <c r="I53" s="30">
        <v>0.69</v>
      </c>
      <c r="J53" s="54">
        <f t="shared" si="8"/>
        <v>0.69</v>
      </c>
      <c r="K53" s="104" t="s">
        <v>37</v>
      </c>
      <c r="L53" s="54">
        <v>12.25</v>
      </c>
      <c r="M53" s="54">
        <f>L53/25</f>
        <v>0.49</v>
      </c>
      <c r="P53" s="140"/>
      <c r="Q53" s="140"/>
      <c r="R53" s="137"/>
      <c r="S53" s="138">
        <f t="shared" si="5"/>
        <v>0</v>
      </c>
      <c r="T53" s="138">
        <f t="shared" si="4"/>
        <v>0</v>
      </c>
      <c r="U53" s="139">
        <f t="shared" si="6"/>
        <v>0</v>
      </c>
      <c r="V53" s="140">
        <f t="shared" si="7"/>
        <v>0</v>
      </c>
    </row>
    <row r="54" spans="1:22" ht="15.75">
      <c r="A54" s="109" t="s">
        <v>215</v>
      </c>
      <c r="B54" s="111" t="s">
        <v>38</v>
      </c>
      <c r="C54" s="30">
        <v>0.47</v>
      </c>
      <c r="D54" s="117">
        <f t="shared" si="9"/>
        <v>0.47</v>
      </c>
      <c r="E54" s="111" t="s">
        <v>37</v>
      </c>
      <c r="F54" s="5">
        <f>G54*25</f>
        <v>24.5</v>
      </c>
      <c r="G54" s="54">
        <v>0.98</v>
      </c>
      <c r="H54" s="111" t="s">
        <v>38</v>
      </c>
      <c r="I54" s="5">
        <v>0.9</v>
      </c>
      <c r="J54" s="54">
        <f t="shared" si="8"/>
        <v>0.9</v>
      </c>
      <c r="K54" s="104" t="s">
        <v>37</v>
      </c>
      <c r="L54" s="54">
        <v>26.75</v>
      </c>
      <c r="M54" s="54">
        <f>L54/25</f>
        <v>1.07</v>
      </c>
      <c r="P54" s="111"/>
      <c r="Q54" s="116"/>
      <c r="R54" s="137"/>
      <c r="S54" s="138">
        <f t="shared" si="5"/>
        <v>0</v>
      </c>
      <c r="T54" s="138">
        <f t="shared" si="4"/>
        <v>0</v>
      </c>
      <c r="U54" s="139">
        <f t="shared" si="6"/>
        <v>0</v>
      </c>
      <c r="V54" s="140">
        <f t="shared" si="7"/>
        <v>0</v>
      </c>
    </row>
    <row r="55" spans="1:22" ht="15.75">
      <c r="A55" s="109" t="s">
        <v>216</v>
      </c>
      <c r="B55" s="111" t="s">
        <v>38</v>
      </c>
      <c r="C55" s="30">
        <v>0.73</v>
      </c>
      <c r="D55" s="117">
        <f t="shared" si="9"/>
        <v>0.73</v>
      </c>
      <c r="E55" s="111" t="s">
        <v>298</v>
      </c>
      <c r="F55" s="30" t="s">
        <v>326</v>
      </c>
      <c r="G55" s="54" t="s">
        <v>326</v>
      </c>
      <c r="H55" s="111" t="s">
        <v>38</v>
      </c>
      <c r="I55" s="30">
        <v>1.25</v>
      </c>
      <c r="J55" s="54">
        <f t="shared" si="8"/>
        <v>1.25</v>
      </c>
      <c r="K55" s="104" t="s">
        <v>37</v>
      </c>
      <c r="L55" s="54">
        <v>22.75</v>
      </c>
      <c r="M55" s="54">
        <f>L55/25</f>
        <v>0.91</v>
      </c>
      <c r="P55" s="140"/>
      <c r="Q55" s="140"/>
      <c r="R55" s="137"/>
      <c r="S55" s="138">
        <f t="shared" si="5"/>
        <v>0</v>
      </c>
      <c r="T55" s="138"/>
      <c r="U55" s="139">
        <f t="shared" si="6"/>
        <v>0</v>
      </c>
      <c r="V55" s="140">
        <f t="shared" si="7"/>
        <v>0</v>
      </c>
    </row>
    <row r="56" spans="1:22" ht="15.75">
      <c r="A56" s="109" t="s">
        <v>63</v>
      </c>
      <c r="B56" s="111" t="s">
        <v>38</v>
      </c>
      <c r="C56" s="30">
        <v>0.99</v>
      </c>
      <c r="D56" s="117">
        <f t="shared" si="9"/>
        <v>0.99</v>
      </c>
      <c r="E56" s="111" t="s">
        <v>328</v>
      </c>
      <c r="F56" s="5">
        <v>12</v>
      </c>
      <c r="G56" s="54">
        <f>F56/12</f>
        <v>1</v>
      </c>
      <c r="H56" s="111" t="s">
        <v>38</v>
      </c>
      <c r="I56" s="5">
        <v>1.05</v>
      </c>
      <c r="J56" s="54">
        <f t="shared" si="8"/>
        <v>1.05</v>
      </c>
      <c r="K56" s="104" t="s">
        <v>327</v>
      </c>
      <c r="L56" s="54">
        <v>10.92</v>
      </c>
      <c r="M56" s="54">
        <f>L56/12</f>
        <v>0.91</v>
      </c>
      <c r="P56" s="116"/>
      <c r="Q56" s="116"/>
      <c r="R56" s="137"/>
      <c r="S56" s="138">
        <f t="shared" si="5"/>
        <v>0</v>
      </c>
      <c r="T56" s="138">
        <f aca="true" t="shared" si="10" ref="T56:T94">Q56*G56</f>
        <v>0</v>
      </c>
      <c r="U56" s="139">
        <f t="shared" si="6"/>
        <v>0</v>
      </c>
      <c r="V56" s="140">
        <f t="shared" si="7"/>
        <v>0</v>
      </c>
    </row>
    <row r="57" spans="1:22" ht="15.75">
      <c r="A57" s="109" t="s">
        <v>64</v>
      </c>
      <c r="B57" s="111" t="s">
        <v>38</v>
      </c>
      <c r="C57" s="30">
        <v>0.95</v>
      </c>
      <c r="D57" s="117">
        <f t="shared" si="9"/>
        <v>0.95</v>
      </c>
      <c r="E57" s="111" t="s">
        <v>328</v>
      </c>
      <c r="F57" s="5">
        <v>12</v>
      </c>
      <c r="G57" s="54">
        <f>F57/12</f>
        <v>1</v>
      </c>
      <c r="H57" s="111" t="s">
        <v>38</v>
      </c>
      <c r="I57" s="5">
        <v>1.15</v>
      </c>
      <c r="J57" s="54">
        <f t="shared" si="8"/>
        <v>1.15</v>
      </c>
      <c r="K57" s="104" t="s">
        <v>327</v>
      </c>
      <c r="L57" s="54">
        <v>10.08</v>
      </c>
      <c r="M57" s="54">
        <f>L57/12</f>
        <v>0.84</v>
      </c>
      <c r="P57" s="140"/>
      <c r="Q57" s="140"/>
      <c r="R57" s="137"/>
      <c r="S57" s="138">
        <f t="shared" si="5"/>
        <v>0</v>
      </c>
      <c r="T57" s="138">
        <f t="shared" si="10"/>
        <v>0</v>
      </c>
      <c r="U57" s="139">
        <f t="shared" si="6"/>
        <v>0</v>
      </c>
      <c r="V57" s="140">
        <f t="shared" si="7"/>
        <v>0</v>
      </c>
    </row>
    <row r="58" spans="1:22" ht="15.75">
      <c r="A58" s="109" t="s">
        <v>65</v>
      </c>
      <c r="B58" s="111" t="s">
        <v>38</v>
      </c>
      <c r="C58" s="30">
        <v>1.16</v>
      </c>
      <c r="D58" s="117">
        <f t="shared" si="9"/>
        <v>1.16</v>
      </c>
      <c r="E58" s="111" t="s">
        <v>328</v>
      </c>
      <c r="F58" s="5">
        <v>12</v>
      </c>
      <c r="G58" s="54">
        <f>F58/12</f>
        <v>1</v>
      </c>
      <c r="H58" s="111" t="s">
        <v>38</v>
      </c>
      <c r="I58" s="5">
        <v>1.59</v>
      </c>
      <c r="J58" s="54">
        <f t="shared" si="8"/>
        <v>1.59</v>
      </c>
      <c r="K58" s="104" t="s">
        <v>327</v>
      </c>
      <c r="L58" s="54">
        <v>12.96</v>
      </c>
      <c r="M58" s="54">
        <f>L58/12</f>
        <v>1.08</v>
      </c>
      <c r="P58" s="140"/>
      <c r="Q58" s="140"/>
      <c r="R58" s="137"/>
      <c r="S58" s="138">
        <f t="shared" si="5"/>
        <v>0</v>
      </c>
      <c r="T58" s="138">
        <f t="shared" si="10"/>
        <v>0</v>
      </c>
      <c r="U58" s="139">
        <f t="shared" si="6"/>
        <v>0</v>
      </c>
      <c r="V58" s="140">
        <f t="shared" si="7"/>
        <v>0</v>
      </c>
    </row>
    <row r="59" spans="1:22" ht="15.75">
      <c r="A59" s="109" t="s">
        <v>66</v>
      </c>
      <c r="B59" s="111" t="s">
        <v>38</v>
      </c>
      <c r="C59" s="30">
        <v>3.91</v>
      </c>
      <c r="D59" s="117">
        <f t="shared" si="9"/>
        <v>3.91</v>
      </c>
      <c r="E59" s="111" t="s">
        <v>36</v>
      </c>
      <c r="F59" s="5">
        <v>43</v>
      </c>
      <c r="G59" s="54">
        <f>F59/10</f>
        <v>4.3</v>
      </c>
      <c r="H59" s="111" t="s">
        <v>38</v>
      </c>
      <c r="I59" s="5">
        <v>3.9</v>
      </c>
      <c r="J59" s="54">
        <f t="shared" si="8"/>
        <v>3.9</v>
      </c>
      <c r="K59" s="111" t="s">
        <v>38</v>
      </c>
      <c r="L59" s="5">
        <v>3.76</v>
      </c>
      <c r="M59" s="54">
        <f aca="true" t="shared" si="11" ref="M59:M85">L59/1</f>
        <v>3.76</v>
      </c>
      <c r="P59" s="116"/>
      <c r="Q59" s="116"/>
      <c r="R59" s="137"/>
      <c r="S59" s="138">
        <f t="shared" si="5"/>
        <v>0</v>
      </c>
      <c r="T59" s="138">
        <f t="shared" si="10"/>
        <v>0</v>
      </c>
      <c r="U59" s="139">
        <f t="shared" si="6"/>
        <v>0</v>
      </c>
      <c r="V59" s="140">
        <f t="shared" si="7"/>
        <v>0</v>
      </c>
    </row>
    <row r="60" spans="1:22" ht="15.75">
      <c r="A60" s="109" t="s">
        <v>217</v>
      </c>
      <c r="B60" s="111" t="s">
        <v>38</v>
      </c>
      <c r="C60" s="30">
        <v>0.82</v>
      </c>
      <c r="D60" s="117">
        <f t="shared" si="9"/>
        <v>0.82</v>
      </c>
      <c r="E60" s="111" t="s">
        <v>329</v>
      </c>
      <c r="F60" s="5">
        <v>0.8</v>
      </c>
      <c r="G60" s="54">
        <f>F60/1</f>
        <v>0.8</v>
      </c>
      <c r="H60" s="111" t="s">
        <v>364</v>
      </c>
      <c r="I60" s="5">
        <v>0.89</v>
      </c>
      <c r="J60" s="54">
        <f t="shared" si="8"/>
        <v>0.89</v>
      </c>
      <c r="K60" s="111" t="s">
        <v>329</v>
      </c>
      <c r="L60" s="5">
        <v>0.71</v>
      </c>
      <c r="M60" s="54">
        <f t="shared" si="11"/>
        <v>0.71</v>
      </c>
      <c r="P60" s="140"/>
      <c r="Q60" s="140"/>
      <c r="R60" s="137"/>
      <c r="S60" s="138">
        <f t="shared" si="5"/>
        <v>0</v>
      </c>
      <c r="T60" s="138">
        <f t="shared" si="10"/>
        <v>0</v>
      </c>
      <c r="U60" s="139">
        <f t="shared" si="6"/>
        <v>0</v>
      </c>
      <c r="V60" s="140">
        <f t="shared" si="7"/>
        <v>0</v>
      </c>
    </row>
    <row r="61" spans="1:22" ht="15.75">
      <c r="A61" s="109" t="s">
        <v>218</v>
      </c>
      <c r="B61" s="111" t="s">
        <v>38</v>
      </c>
      <c r="C61" s="30">
        <v>4.51</v>
      </c>
      <c r="D61" s="117">
        <f t="shared" si="9"/>
        <v>4.51</v>
      </c>
      <c r="E61" s="111" t="s">
        <v>330</v>
      </c>
      <c r="F61" s="5">
        <v>3.2</v>
      </c>
      <c r="G61" s="54">
        <f>F61/1</f>
        <v>3.2</v>
      </c>
      <c r="H61" s="111" t="s">
        <v>38</v>
      </c>
      <c r="I61" s="5">
        <v>3.99</v>
      </c>
      <c r="J61" s="54">
        <f t="shared" si="8"/>
        <v>3.99</v>
      </c>
      <c r="K61" s="111" t="s">
        <v>38</v>
      </c>
      <c r="L61" s="5">
        <v>3.65</v>
      </c>
      <c r="M61" s="54">
        <f t="shared" si="11"/>
        <v>3.65</v>
      </c>
      <c r="P61" s="140"/>
      <c r="Q61" s="140"/>
      <c r="R61" s="137"/>
      <c r="S61" s="138">
        <f t="shared" si="5"/>
        <v>0</v>
      </c>
      <c r="T61" s="138">
        <f t="shared" si="10"/>
        <v>0</v>
      </c>
      <c r="U61" s="139">
        <f t="shared" si="6"/>
        <v>0</v>
      </c>
      <c r="V61" s="140">
        <f t="shared" si="7"/>
        <v>0</v>
      </c>
    </row>
    <row r="62" spans="1:22" ht="15.75">
      <c r="A62" s="109" t="s">
        <v>219</v>
      </c>
      <c r="B62" s="111" t="s">
        <v>38</v>
      </c>
      <c r="C62" s="30">
        <v>1.1</v>
      </c>
      <c r="D62" s="117">
        <f t="shared" si="9"/>
        <v>1.1</v>
      </c>
      <c r="E62" s="111" t="s">
        <v>327</v>
      </c>
      <c r="F62" s="5">
        <f>G62*12</f>
        <v>14.399999999999999</v>
      </c>
      <c r="G62" s="54">
        <v>1.2</v>
      </c>
      <c r="H62" s="111" t="s">
        <v>38</v>
      </c>
      <c r="I62" s="5">
        <v>1.25</v>
      </c>
      <c r="J62" s="54">
        <f t="shared" si="8"/>
        <v>1.25</v>
      </c>
      <c r="K62" s="111" t="s">
        <v>38</v>
      </c>
      <c r="L62" s="5">
        <v>1.2</v>
      </c>
      <c r="M62" s="54">
        <f t="shared" si="11"/>
        <v>1.2</v>
      </c>
      <c r="P62" s="140"/>
      <c r="Q62" s="140"/>
      <c r="R62" s="137"/>
      <c r="S62" s="138">
        <f t="shared" si="5"/>
        <v>0</v>
      </c>
      <c r="T62" s="138">
        <f t="shared" si="10"/>
        <v>0</v>
      </c>
      <c r="U62" s="139">
        <f t="shared" si="6"/>
        <v>0</v>
      </c>
      <c r="V62" s="140">
        <f t="shared" si="7"/>
        <v>0</v>
      </c>
    </row>
    <row r="63" spans="1:22" ht="15.75">
      <c r="A63" s="109" t="s">
        <v>220</v>
      </c>
      <c r="B63" s="111" t="s">
        <v>38</v>
      </c>
      <c r="C63" s="30">
        <v>11.34</v>
      </c>
      <c r="D63" s="117">
        <f t="shared" si="9"/>
        <v>11.34</v>
      </c>
      <c r="E63" s="111" t="s">
        <v>38</v>
      </c>
      <c r="F63" s="5">
        <v>7.8</v>
      </c>
      <c r="G63" s="54">
        <f>F63/1</f>
        <v>7.8</v>
      </c>
      <c r="H63" s="111" t="s">
        <v>38</v>
      </c>
      <c r="I63" s="5">
        <v>9.22</v>
      </c>
      <c r="J63" s="54">
        <f t="shared" si="8"/>
        <v>9.22</v>
      </c>
      <c r="K63" s="113" t="s">
        <v>38</v>
      </c>
      <c r="L63" s="8">
        <v>8.54</v>
      </c>
      <c r="M63" s="112">
        <f t="shared" si="11"/>
        <v>8.54</v>
      </c>
      <c r="N63" t="s">
        <v>393</v>
      </c>
      <c r="P63" s="140"/>
      <c r="Q63" s="140"/>
      <c r="R63" s="137"/>
      <c r="S63" s="138">
        <f t="shared" si="5"/>
        <v>0</v>
      </c>
      <c r="T63" s="138">
        <f t="shared" si="10"/>
        <v>0</v>
      </c>
      <c r="U63" s="139">
        <f t="shared" si="6"/>
        <v>0</v>
      </c>
      <c r="V63" s="140">
        <f t="shared" si="7"/>
        <v>0</v>
      </c>
    </row>
    <row r="64" spans="1:22" ht="15.75">
      <c r="A64" s="109" t="s">
        <v>221</v>
      </c>
      <c r="B64" s="111" t="s">
        <v>38</v>
      </c>
      <c r="C64" s="30">
        <v>13.33</v>
      </c>
      <c r="D64" s="117">
        <f t="shared" si="9"/>
        <v>13.33</v>
      </c>
      <c r="E64" s="111" t="s">
        <v>38</v>
      </c>
      <c r="F64" s="30">
        <v>8.5</v>
      </c>
      <c r="G64" s="54">
        <f>F64/1</f>
        <v>8.5</v>
      </c>
      <c r="H64" s="111" t="s">
        <v>38</v>
      </c>
      <c r="I64" s="30">
        <v>11.25</v>
      </c>
      <c r="J64" s="54">
        <f t="shared" si="8"/>
        <v>11.25</v>
      </c>
      <c r="K64" s="113" t="s">
        <v>38</v>
      </c>
      <c r="L64" s="8">
        <v>10.18</v>
      </c>
      <c r="M64" s="112">
        <f t="shared" si="11"/>
        <v>10.18</v>
      </c>
      <c r="N64" t="s">
        <v>393</v>
      </c>
      <c r="P64" s="140"/>
      <c r="Q64" s="140"/>
      <c r="R64" s="137"/>
      <c r="S64" s="138">
        <f t="shared" si="5"/>
        <v>0</v>
      </c>
      <c r="T64" s="138">
        <f t="shared" si="10"/>
        <v>0</v>
      </c>
      <c r="U64" s="139">
        <f t="shared" si="6"/>
        <v>0</v>
      </c>
      <c r="V64" s="140">
        <f t="shared" si="7"/>
        <v>0</v>
      </c>
    </row>
    <row r="65" spans="1:22" ht="15.75">
      <c r="A65" s="109" t="s">
        <v>222</v>
      </c>
      <c r="B65" s="111" t="s">
        <v>38</v>
      </c>
      <c r="C65" s="30">
        <v>4.55</v>
      </c>
      <c r="D65" s="117">
        <f t="shared" si="9"/>
        <v>4.55</v>
      </c>
      <c r="E65" s="111" t="s">
        <v>38</v>
      </c>
      <c r="F65" s="30">
        <v>3.8</v>
      </c>
      <c r="G65" s="54">
        <f>F65/1</f>
        <v>3.8</v>
      </c>
      <c r="H65" s="111" t="s">
        <v>38</v>
      </c>
      <c r="I65" s="30">
        <v>2.99</v>
      </c>
      <c r="J65" s="54">
        <f t="shared" si="8"/>
        <v>2.99</v>
      </c>
      <c r="K65" s="113" t="s">
        <v>38</v>
      </c>
      <c r="L65" s="8">
        <v>3.99</v>
      </c>
      <c r="M65" s="112">
        <f t="shared" si="11"/>
        <v>3.99</v>
      </c>
      <c r="P65" s="140"/>
      <c r="Q65" s="140"/>
      <c r="R65" s="137"/>
      <c r="S65" s="138">
        <f t="shared" si="5"/>
        <v>0</v>
      </c>
      <c r="T65" s="138">
        <f t="shared" si="10"/>
        <v>0</v>
      </c>
      <c r="U65" s="139">
        <f t="shared" si="6"/>
        <v>0</v>
      </c>
      <c r="V65" s="140">
        <f t="shared" si="7"/>
        <v>0</v>
      </c>
    </row>
    <row r="66" spans="1:22" ht="15.75">
      <c r="A66" s="109" t="s">
        <v>223</v>
      </c>
      <c r="B66" s="111" t="s">
        <v>38</v>
      </c>
      <c r="C66" s="30">
        <v>5.9</v>
      </c>
      <c r="D66" s="117">
        <f t="shared" si="9"/>
        <v>5.9</v>
      </c>
      <c r="E66" s="111" t="s">
        <v>38</v>
      </c>
      <c r="F66" s="30">
        <v>4.2</v>
      </c>
      <c r="G66" s="54">
        <f>F66/1</f>
        <v>4.2</v>
      </c>
      <c r="H66" s="111" t="s">
        <v>38</v>
      </c>
      <c r="I66" s="30">
        <v>4.38</v>
      </c>
      <c r="J66" s="54">
        <f t="shared" si="8"/>
        <v>4.38</v>
      </c>
      <c r="K66" s="111" t="s">
        <v>38</v>
      </c>
      <c r="L66" s="5">
        <v>5.12</v>
      </c>
      <c r="M66" s="54">
        <f t="shared" si="11"/>
        <v>5.12</v>
      </c>
      <c r="P66" s="140"/>
      <c r="Q66" s="140"/>
      <c r="R66" s="137"/>
      <c r="S66" s="138">
        <f t="shared" si="5"/>
        <v>0</v>
      </c>
      <c r="T66" s="138">
        <f t="shared" si="10"/>
        <v>0</v>
      </c>
      <c r="U66" s="139">
        <f t="shared" si="6"/>
        <v>0</v>
      </c>
      <c r="V66" s="140">
        <f t="shared" si="7"/>
        <v>0</v>
      </c>
    </row>
    <row r="67" spans="1:22" ht="15.75">
      <c r="A67" s="109" t="s">
        <v>224</v>
      </c>
      <c r="B67" s="111" t="s">
        <v>38</v>
      </c>
      <c r="C67" s="30">
        <v>0.97</v>
      </c>
      <c r="D67" s="117">
        <f t="shared" si="9"/>
        <v>0.97</v>
      </c>
      <c r="E67" s="111" t="s">
        <v>327</v>
      </c>
      <c r="F67" s="30">
        <v>12</v>
      </c>
      <c r="G67" s="54">
        <f>F67/12</f>
        <v>1</v>
      </c>
      <c r="H67" s="111" t="s">
        <v>38</v>
      </c>
      <c r="I67" s="30">
        <v>0.85</v>
      </c>
      <c r="J67" s="54">
        <f t="shared" si="8"/>
        <v>0.85</v>
      </c>
      <c r="K67" s="111" t="s">
        <v>390</v>
      </c>
      <c r="L67" s="5">
        <v>0.67</v>
      </c>
      <c r="M67" s="54">
        <f t="shared" si="11"/>
        <v>0.67</v>
      </c>
      <c r="P67" s="140"/>
      <c r="Q67" s="140"/>
      <c r="R67" s="137"/>
      <c r="S67" s="138">
        <f t="shared" si="5"/>
        <v>0</v>
      </c>
      <c r="T67" s="138">
        <f t="shared" si="10"/>
        <v>0</v>
      </c>
      <c r="U67" s="139">
        <f t="shared" si="6"/>
        <v>0</v>
      </c>
      <c r="V67" s="140">
        <f t="shared" si="7"/>
        <v>0</v>
      </c>
    </row>
    <row r="68" spans="1:22" ht="15.75">
      <c r="A68" s="109" t="s">
        <v>225</v>
      </c>
      <c r="B68" s="111" t="s">
        <v>38</v>
      </c>
      <c r="C68" s="120">
        <v>3.41</v>
      </c>
      <c r="D68" s="54">
        <f t="shared" si="9"/>
        <v>3.41</v>
      </c>
      <c r="E68" s="111" t="s">
        <v>38</v>
      </c>
      <c r="F68" s="30">
        <v>1.96</v>
      </c>
      <c r="G68" s="54">
        <f aca="true" t="shared" si="12" ref="G68:G85">F68/1</f>
        <v>1.96</v>
      </c>
      <c r="H68" s="111" t="s">
        <v>38</v>
      </c>
      <c r="I68" s="30">
        <v>2.1</v>
      </c>
      <c r="J68" s="54">
        <f t="shared" si="8"/>
        <v>2.1</v>
      </c>
      <c r="K68" s="111" t="s">
        <v>38</v>
      </c>
      <c r="L68" s="5">
        <v>2.95</v>
      </c>
      <c r="M68" s="54">
        <f t="shared" si="11"/>
        <v>2.95</v>
      </c>
      <c r="P68" s="140"/>
      <c r="Q68" s="140"/>
      <c r="R68" s="137"/>
      <c r="S68" s="138">
        <f t="shared" si="5"/>
        <v>0</v>
      </c>
      <c r="T68" s="138">
        <f t="shared" si="10"/>
        <v>0</v>
      </c>
      <c r="U68" s="139">
        <f t="shared" si="6"/>
        <v>0</v>
      </c>
      <c r="V68" s="140">
        <f t="shared" si="7"/>
        <v>0</v>
      </c>
    </row>
    <row r="69" spans="1:22" ht="15.75">
      <c r="A69" s="109" t="s">
        <v>226</v>
      </c>
      <c r="B69" s="111" t="s">
        <v>38</v>
      </c>
      <c r="C69" s="120">
        <v>2.2</v>
      </c>
      <c r="D69" s="121">
        <f t="shared" si="9"/>
        <v>2.2</v>
      </c>
      <c r="E69" s="111" t="s">
        <v>38</v>
      </c>
      <c r="F69" s="30">
        <v>1.75</v>
      </c>
      <c r="G69" s="30">
        <f t="shared" si="12"/>
        <v>1.75</v>
      </c>
      <c r="H69" s="111" t="s">
        <v>38</v>
      </c>
      <c r="I69" s="30">
        <v>1.95</v>
      </c>
      <c r="J69" s="30">
        <f t="shared" si="8"/>
        <v>1.95</v>
      </c>
      <c r="K69" s="111" t="s">
        <v>38</v>
      </c>
      <c r="L69" s="5">
        <v>1.89</v>
      </c>
      <c r="M69" s="54">
        <f t="shared" si="11"/>
        <v>1.89</v>
      </c>
      <c r="P69" s="140"/>
      <c r="Q69" s="140"/>
      <c r="R69" s="137"/>
      <c r="S69" s="138">
        <f t="shared" si="5"/>
        <v>0</v>
      </c>
      <c r="T69" s="138">
        <f t="shared" si="10"/>
        <v>0</v>
      </c>
      <c r="U69" s="139">
        <f t="shared" si="6"/>
        <v>0</v>
      </c>
      <c r="V69" s="140">
        <f t="shared" si="7"/>
        <v>0</v>
      </c>
    </row>
    <row r="70" spans="1:22" ht="15.75">
      <c r="A70" s="109" t="s">
        <v>227</v>
      </c>
      <c r="B70" s="111" t="s">
        <v>38</v>
      </c>
      <c r="C70" s="120">
        <v>36.4</v>
      </c>
      <c r="D70" s="121">
        <f t="shared" si="9"/>
        <v>36.4</v>
      </c>
      <c r="E70" s="111" t="s">
        <v>38</v>
      </c>
      <c r="F70" s="5">
        <v>29</v>
      </c>
      <c r="G70" s="5">
        <f t="shared" si="12"/>
        <v>29</v>
      </c>
      <c r="H70" s="111" t="s">
        <v>38</v>
      </c>
      <c r="I70" s="5">
        <v>42</v>
      </c>
      <c r="J70" s="5">
        <f t="shared" si="8"/>
        <v>42</v>
      </c>
      <c r="K70" s="111" t="s">
        <v>38</v>
      </c>
      <c r="L70" s="5">
        <v>29.98</v>
      </c>
      <c r="M70" s="54">
        <f t="shared" si="11"/>
        <v>29.98</v>
      </c>
      <c r="P70" s="140"/>
      <c r="Q70" s="140"/>
      <c r="R70" s="137"/>
      <c r="S70" s="138">
        <f t="shared" si="5"/>
        <v>0</v>
      </c>
      <c r="T70" s="138">
        <f t="shared" si="10"/>
        <v>0</v>
      </c>
      <c r="U70" s="139">
        <f t="shared" si="6"/>
        <v>0</v>
      </c>
      <c r="V70" s="140">
        <f t="shared" si="7"/>
        <v>0</v>
      </c>
    </row>
    <row r="71" spans="1:22" ht="15.75">
      <c r="A71" s="109" t="s">
        <v>228</v>
      </c>
      <c r="B71" s="111" t="s">
        <v>38</v>
      </c>
      <c r="C71" s="120">
        <v>74.2</v>
      </c>
      <c r="D71" s="121">
        <f t="shared" si="9"/>
        <v>74.2</v>
      </c>
      <c r="E71" s="111" t="s">
        <v>38</v>
      </c>
      <c r="F71" s="5">
        <v>85</v>
      </c>
      <c r="G71" s="5">
        <f t="shared" si="12"/>
        <v>85</v>
      </c>
      <c r="H71" s="111" t="s">
        <v>38</v>
      </c>
      <c r="I71" s="5">
        <v>68.5</v>
      </c>
      <c r="J71" s="5">
        <f t="shared" si="8"/>
        <v>68.5</v>
      </c>
      <c r="K71" s="111" t="s">
        <v>38</v>
      </c>
      <c r="L71" s="5">
        <v>73.78</v>
      </c>
      <c r="M71" s="54">
        <f t="shared" si="11"/>
        <v>73.78</v>
      </c>
      <c r="P71" s="140"/>
      <c r="Q71" s="140"/>
      <c r="R71" s="137"/>
      <c r="S71" s="138">
        <f aca="true" t="shared" si="13" ref="S71:S98">Q71*D71</f>
        <v>0</v>
      </c>
      <c r="T71" s="138">
        <f t="shared" si="10"/>
        <v>0</v>
      </c>
      <c r="U71" s="139">
        <f aca="true" t="shared" si="14" ref="U71:U98">Q71*J71</f>
        <v>0</v>
      </c>
      <c r="V71" s="140">
        <f aca="true" t="shared" si="15" ref="V71:V98">Q71*M71</f>
        <v>0</v>
      </c>
    </row>
    <row r="72" spans="1:22" ht="15.75">
      <c r="A72" s="109" t="s">
        <v>229</v>
      </c>
      <c r="B72" s="111" t="s">
        <v>38</v>
      </c>
      <c r="C72" s="120">
        <v>1.74</v>
      </c>
      <c r="D72" s="121">
        <f t="shared" si="9"/>
        <v>1.74</v>
      </c>
      <c r="E72" s="111" t="s">
        <v>38</v>
      </c>
      <c r="F72" s="30">
        <v>1.36</v>
      </c>
      <c r="G72" s="5">
        <f t="shared" si="12"/>
        <v>1.36</v>
      </c>
      <c r="H72" s="111" t="s">
        <v>38</v>
      </c>
      <c r="I72" s="30">
        <v>1.35</v>
      </c>
      <c r="J72" s="5">
        <f t="shared" si="8"/>
        <v>1.35</v>
      </c>
      <c r="K72" s="111" t="s">
        <v>38</v>
      </c>
      <c r="L72" s="5">
        <v>1.64</v>
      </c>
      <c r="M72" s="54">
        <f t="shared" si="11"/>
        <v>1.64</v>
      </c>
      <c r="P72" s="140"/>
      <c r="Q72" s="140"/>
      <c r="R72" s="137"/>
      <c r="S72" s="138">
        <f t="shared" si="13"/>
        <v>0</v>
      </c>
      <c r="T72" s="138">
        <f t="shared" si="10"/>
        <v>0</v>
      </c>
      <c r="U72" s="139">
        <f t="shared" si="14"/>
        <v>0</v>
      </c>
      <c r="V72" s="140">
        <f t="shared" si="15"/>
        <v>0</v>
      </c>
    </row>
    <row r="73" spans="1:22" ht="15.75">
      <c r="A73" s="109" t="s">
        <v>230</v>
      </c>
      <c r="B73" s="111" t="s">
        <v>38</v>
      </c>
      <c r="C73" s="120">
        <v>1.74</v>
      </c>
      <c r="D73" s="121">
        <f t="shared" si="9"/>
        <v>1.74</v>
      </c>
      <c r="E73" s="111" t="s">
        <v>38</v>
      </c>
      <c r="F73" s="30">
        <v>1.36</v>
      </c>
      <c r="G73" s="30">
        <f t="shared" si="12"/>
        <v>1.36</v>
      </c>
      <c r="H73" s="111" t="s">
        <v>38</v>
      </c>
      <c r="I73" s="30">
        <v>1.15</v>
      </c>
      <c r="J73" s="30">
        <f t="shared" si="8"/>
        <v>1.15</v>
      </c>
      <c r="K73" s="111" t="s">
        <v>38</v>
      </c>
      <c r="L73" s="5">
        <v>1.41</v>
      </c>
      <c r="M73" s="54">
        <f t="shared" si="11"/>
        <v>1.41</v>
      </c>
      <c r="P73" s="140"/>
      <c r="Q73" s="140"/>
      <c r="R73" s="137"/>
      <c r="S73" s="138">
        <f t="shared" si="13"/>
        <v>0</v>
      </c>
      <c r="T73" s="138">
        <f t="shared" si="10"/>
        <v>0</v>
      </c>
      <c r="U73" s="139">
        <f t="shared" si="14"/>
        <v>0</v>
      </c>
      <c r="V73" s="140">
        <f t="shared" si="15"/>
        <v>0</v>
      </c>
    </row>
    <row r="74" spans="1:22" ht="15.75">
      <c r="A74" s="109" t="s">
        <v>231</v>
      </c>
      <c r="B74" s="111" t="s">
        <v>38</v>
      </c>
      <c r="C74" s="120">
        <v>0.94</v>
      </c>
      <c r="D74" s="121">
        <f t="shared" si="9"/>
        <v>0.94</v>
      </c>
      <c r="E74" s="111" t="s">
        <v>38</v>
      </c>
      <c r="F74" s="5">
        <v>1</v>
      </c>
      <c r="G74" s="54">
        <f t="shared" si="12"/>
        <v>1</v>
      </c>
      <c r="H74" s="111" t="s">
        <v>365</v>
      </c>
      <c r="I74" s="5">
        <v>1.2</v>
      </c>
      <c r="J74" s="54">
        <f t="shared" si="8"/>
        <v>1.2</v>
      </c>
      <c r="K74" s="111" t="s">
        <v>391</v>
      </c>
      <c r="L74" s="5">
        <v>1.15</v>
      </c>
      <c r="M74" s="54">
        <f t="shared" si="11"/>
        <v>1.15</v>
      </c>
      <c r="P74" s="140"/>
      <c r="Q74" s="140"/>
      <c r="R74" s="137"/>
      <c r="S74" s="138">
        <f t="shared" si="13"/>
        <v>0</v>
      </c>
      <c r="T74" s="138">
        <f t="shared" si="10"/>
        <v>0</v>
      </c>
      <c r="U74" s="139">
        <f t="shared" si="14"/>
        <v>0</v>
      </c>
      <c r="V74" s="140">
        <f t="shared" si="15"/>
        <v>0</v>
      </c>
    </row>
    <row r="75" spans="1:22" ht="15.75">
      <c r="A75" s="109" t="s">
        <v>232</v>
      </c>
      <c r="B75" s="111" t="s">
        <v>38</v>
      </c>
      <c r="C75" s="120">
        <v>7.02</v>
      </c>
      <c r="D75" s="121">
        <f t="shared" si="9"/>
        <v>7.02</v>
      </c>
      <c r="E75" s="111" t="s">
        <v>38</v>
      </c>
      <c r="F75" s="5">
        <v>4.3</v>
      </c>
      <c r="G75" s="54">
        <f t="shared" si="12"/>
        <v>4.3</v>
      </c>
      <c r="H75" s="111" t="s">
        <v>38</v>
      </c>
      <c r="I75" s="5">
        <v>2.99</v>
      </c>
      <c r="J75" s="54">
        <f t="shared" si="8"/>
        <v>2.99</v>
      </c>
      <c r="K75" s="111" t="s">
        <v>38</v>
      </c>
      <c r="L75" s="5">
        <v>2.94</v>
      </c>
      <c r="M75" s="54">
        <f t="shared" si="11"/>
        <v>2.94</v>
      </c>
      <c r="P75" s="140"/>
      <c r="Q75" s="140"/>
      <c r="R75" s="137"/>
      <c r="S75" s="138">
        <f t="shared" si="13"/>
        <v>0</v>
      </c>
      <c r="T75" s="138">
        <f t="shared" si="10"/>
        <v>0</v>
      </c>
      <c r="U75" s="139">
        <f t="shared" si="14"/>
        <v>0</v>
      </c>
      <c r="V75" s="140">
        <f t="shared" si="15"/>
        <v>0</v>
      </c>
    </row>
    <row r="76" spans="1:22" ht="15.75">
      <c r="A76" s="109" t="s">
        <v>233</v>
      </c>
      <c r="B76" s="111" t="s">
        <v>38</v>
      </c>
      <c r="C76" s="120">
        <v>1.66</v>
      </c>
      <c r="D76" s="121">
        <f t="shared" si="9"/>
        <v>1.66</v>
      </c>
      <c r="E76" s="111" t="s">
        <v>38</v>
      </c>
      <c r="F76" s="5">
        <v>1.8</v>
      </c>
      <c r="G76" s="54">
        <f t="shared" si="12"/>
        <v>1.8</v>
      </c>
      <c r="H76" s="111" t="s">
        <v>38</v>
      </c>
      <c r="I76" s="5">
        <v>1.89</v>
      </c>
      <c r="J76" s="54">
        <f t="shared" si="8"/>
        <v>1.89</v>
      </c>
      <c r="K76" s="111" t="s">
        <v>38</v>
      </c>
      <c r="L76" s="5">
        <v>1.23</v>
      </c>
      <c r="M76" s="54">
        <f t="shared" si="11"/>
        <v>1.23</v>
      </c>
      <c r="P76" s="140"/>
      <c r="Q76" s="140"/>
      <c r="R76" s="137"/>
      <c r="S76" s="138">
        <f t="shared" si="13"/>
        <v>0</v>
      </c>
      <c r="T76" s="138">
        <f t="shared" si="10"/>
        <v>0</v>
      </c>
      <c r="U76" s="139">
        <f t="shared" si="14"/>
        <v>0</v>
      </c>
      <c r="V76" s="140">
        <f t="shared" si="15"/>
        <v>0</v>
      </c>
    </row>
    <row r="77" spans="1:22" ht="15.75">
      <c r="A77" s="109" t="s">
        <v>234</v>
      </c>
      <c r="B77" s="111" t="s">
        <v>38</v>
      </c>
      <c r="C77" s="120">
        <v>1.95</v>
      </c>
      <c r="D77" s="121">
        <f t="shared" si="9"/>
        <v>1.95</v>
      </c>
      <c r="E77" s="111" t="s">
        <v>38</v>
      </c>
      <c r="F77" s="5">
        <v>3.5</v>
      </c>
      <c r="G77" s="54">
        <f t="shared" si="12"/>
        <v>3.5</v>
      </c>
      <c r="H77" s="111" t="s">
        <v>366</v>
      </c>
      <c r="I77" s="5">
        <v>4.07</v>
      </c>
      <c r="J77" s="54">
        <f t="shared" si="8"/>
        <v>4.07</v>
      </c>
      <c r="K77" s="111" t="s">
        <v>38</v>
      </c>
      <c r="L77" s="5">
        <v>2.23</v>
      </c>
      <c r="M77" s="54">
        <f t="shared" si="11"/>
        <v>2.23</v>
      </c>
      <c r="N77" t="s">
        <v>392</v>
      </c>
      <c r="P77" s="140"/>
      <c r="Q77" s="140"/>
      <c r="R77" s="137"/>
      <c r="S77" s="138">
        <f t="shared" si="13"/>
        <v>0</v>
      </c>
      <c r="T77" s="138">
        <f t="shared" si="10"/>
        <v>0</v>
      </c>
      <c r="U77" s="139">
        <f t="shared" si="14"/>
        <v>0</v>
      </c>
      <c r="V77" s="140">
        <f t="shared" si="15"/>
        <v>0</v>
      </c>
    </row>
    <row r="78" spans="1:22" ht="15.75">
      <c r="A78" s="109" t="s">
        <v>235</v>
      </c>
      <c r="B78" s="111" t="s">
        <v>38</v>
      </c>
      <c r="C78" s="120">
        <v>3.9</v>
      </c>
      <c r="D78" s="121">
        <f t="shared" si="9"/>
        <v>3.9</v>
      </c>
      <c r="E78" s="111" t="s">
        <v>38</v>
      </c>
      <c r="F78" s="5">
        <v>3.9</v>
      </c>
      <c r="G78" s="54">
        <f t="shared" si="12"/>
        <v>3.9</v>
      </c>
      <c r="H78" s="111" t="s">
        <v>38</v>
      </c>
      <c r="I78" s="5">
        <v>1.96</v>
      </c>
      <c r="J78" s="54">
        <f t="shared" si="8"/>
        <v>1.96</v>
      </c>
      <c r="K78" s="111" t="s">
        <v>38</v>
      </c>
      <c r="L78" s="5">
        <v>3.02</v>
      </c>
      <c r="M78" s="54">
        <f t="shared" si="11"/>
        <v>3.02</v>
      </c>
      <c r="P78" s="140"/>
      <c r="Q78" s="140"/>
      <c r="R78" s="137"/>
      <c r="S78" s="138">
        <f t="shared" si="13"/>
        <v>0</v>
      </c>
      <c r="T78" s="138">
        <f t="shared" si="10"/>
        <v>0</v>
      </c>
      <c r="U78" s="139">
        <f t="shared" si="14"/>
        <v>0</v>
      </c>
      <c r="V78" s="140">
        <f t="shared" si="15"/>
        <v>0</v>
      </c>
    </row>
    <row r="79" spans="1:22" ht="25.5">
      <c r="A79" s="109" t="s">
        <v>236</v>
      </c>
      <c r="B79" s="111" t="s">
        <v>289</v>
      </c>
      <c r="C79" s="120">
        <v>15.15</v>
      </c>
      <c r="D79" s="121">
        <f t="shared" si="9"/>
        <v>15.15</v>
      </c>
      <c r="E79" s="111" t="s">
        <v>38</v>
      </c>
      <c r="F79" s="5">
        <v>11</v>
      </c>
      <c r="G79" s="54">
        <f t="shared" si="12"/>
        <v>11</v>
      </c>
      <c r="H79" s="111" t="s">
        <v>38</v>
      </c>
      <c r="I79" s="5">
        <v>2.69</v>
      </c>
      <c r="J79" s="54">
        <f t="shared" si="8"/>
        <v>2.69</v>
      </c>
      <c r="K79" s="111" t="s">
        <v>38</v>
      </c>
      <c r="L79" s="5">
        <v>13.1</v>
      </c>
      <c r="M79" s="54">
        <f t="shared" si="11"/>
        <v>13.1</v>
      </c>
      <c r="P79" s="140"/>
      <c r="Q79" s="140"/>
      <c r="R79" s="137"/>
      <c r="S79" s="138">
        <f t="shared" si="13"/>
        <v>0</v>
      </c>
      <c r="T79" s="138">
        <f t="shared" si="10"/>
        <v>0</v>
      </c>
      <c r="U79" s="139">
        <f t="shared" si="14"/>
        <v>0</v>
      </c>
      <c r="V79" s="140">
        <f t="shared" si="15"/>
        <v>0</v>
      </c>
    </row>
    <row r="80" spans="1:22" ht="15.75">
      <c r="A80" s="109" t="s">
        <v>237</v>
      </c>
      <c r="B80" s="111" t="s">
        <v>38</v>
      </c>
      <c r="C80" s="120">
        <v>1.04</v>
      </c>
      <c r="D80" s="121">
        <f t="shared" si="9"/>
        <v>1.04</v>
      </c>
      <c r="E80" s="111" t="s">
        <v>38</v>
      </c>
      <c r="F80" s="5">
        <v>1.9</v>
      </c>
      <c r="G80" s="54">
        <f t="shared" si="12"/>
        <v>1.9</v>
      </c>
      <c r="H80" s="111" t="s">
        <v>38</v>
      </c>
      <c r="I80" s="5">
        <v>1.99</v>
      </c>
      <c r="J80" s="54">
        <f t="shared" si="8"/>
        <v>1.99</v>
      </c>
      <c r="K80" s="111" t="s">
        <v>38</v>
      </c>
      <c r="L80" s="5">
        <v>1.09</v>
      </c>
      <c r="M80" s="54">
        <f t="shared" si="11"/>
        <v>1.09</v>
      </c>
      <c r="P80" s="140"/>
      <c r="Q80" s="140"/>
      <c r="R80" s="137"/>
      <c r="S80" s="138">
        <f t="shared" si="13"/>
        <v>0</v>
      </c>
      <c r="T80" s="138">
        <f t="shared" si="10"/>
        <v>0</v>
      </c>
      <c r="U80" s="139">
        <f t="shared" si="14"/>
        <v>0</v>
      </c>
      <c r="V80" s="140">
        <f t="shared" si="15"/>
        <v>0</v>
      </c>
    </row>
    <row r="81" spans="1:22" ht="15.75">
      <c r="A81" s="109" t="s">
        <v>16</v>
      </c>
      <c r="B81" s="111" t="s">
        <v>38</v>
      </c>
      <c r="C81" s="120">
        <v>7.35</v>
      </c>
      <c r="D81" s="121">
        <f t="shared" si="9"/>
        <v>7.35</v>
      </c>
      <c r="E81" s="111" t="s">
        <v>38</v>
      </c>
      <c r="F81" s="5">
        <v>6</v>
      </c>
      <c r="G81" s="54">
        <f t="shared" si="12"/>
        <v>6</v>
      </c>
      <c r="H81" s="111" t="s">
        <v>38</v>
      </c>
      <c r="I81" s="5">
        <v>3.5</v>
      </c>
      <c r="J81" s="54">
        <f t="shared" si="8"/>
        <v>3.5</v>
      </c>
      <c r="K81" s="111" t="s">
        <v>38</v>
      </c>
      <c r="L81" s="5">
        <v>5.79</v>
      </c>
      <c r="M81" s="54">
        <f t="shared" si="11"/>
        <v>5.79</v>
      </c>
      <c r="P81" s="140"/>
      <c r="Q81" s="140"/>
      <c r="R81" s="137"/>
      <c r="S81" s="138">
        <f t="shared" si="13"/>
        <v>0</v>
      </c>
      <c r="T81" s="138">
        <f t="shared" si="10"/>
        <v>0</v>
      </c>
      <c r="U81" s="139">
        <f t="shared" si="14"/>
        <v>0</v>
      </c>
      <c r="V81" s="140">
        <f t="shared" si="15"/>
        <v>0</v>
      </c>
    </row>
    <row r="82" spans="1:22" ht="15.75">
      <c r="A82" s="109" t="s">
        <v>238</v>
      </c>
      <c r="B82" s="111" t="s">
        <v>38</v>
      </c>
      <c r="C82" s="120">
        <v>2.56</v>
      </c>
      <c r="D82" s="121">
        <f t="shared" si="9"/>
        <v>2.56</v>
      </c>
      <c r="E82" s="111" t="s">
        <v>38</v>
      </c>
      <c r="F82" s="5">
        <v>2.5</v>
      </c>
      <c r="G82" s="54">
        <f t="shared" si="12"/>
        <v>2.5</v>
      </c>
      <c r="H82" s="111" t="s">
        <v>38</v>
      </c>
      <c r="I82" s="5">
        <v>2.11</v>
      </c>
      <c r="J82" s="54">
        <f t="shared" si="8"/>
        <v>2.11</v>
      </c>
      <c r="K82" s="111" t="s">
        <v>38</v>
      </c>
      <c r="L82" s="5">
        <v>5.34</v>
      </c>
      <c r="M82" s="54">
        <f t="shared" si="11"/>
        <v>5.34</v>
      </c>
      <c r="P82" s="140"/>
      <c r="Q82" s="140"/>
      <c r="R82" s="137"/>
      <c r="S82" s="138">
        <f t="shared" si="13"/>
        <v>0</v>
      </c>
      <c r="T82" s="138">
        <f t="shared" si="10"/>
        <v>0</v>
      </c>
      <c r="U82" s="139">
        <f t="shared" si="14"/>
        <v>0</v>
      </c>
      <c r="V82" s="140">
        <f t="shared" si="15"/>
        <v>0</v>
      </c>
    </row>
    <row r="83" spans="1:22" ht="15.75">
      <c r="A83" s="109" t="s">
        <v>239</v>
      </c>
      <c r="B83" s="111" t="s">
        <v>38</v>
      </c>
      <c r="C83" s="120">
        <v>3.25</v>
      </c>
      <c r="D83" s="121">
        <f t="shared" si="9"/>
        <v>3.25</v>
      </c>
      <c r="E83" s="111" t="s">
        <v>38</v>
      </c>
      <c r="F83" s="5">
        <v>4.8</v>
      </c>
      <c r="G83" s="54">
        <f t="shared" si="12"/>
        <v>4.8</v>
      </c>
      <c r="H83" s="111" t="s">
        <v>38</v>
      </c>
      <c r="I83" s="5">
        <v>6.35</v>
      </c>
      <c r="J83" s="54">
        <f t="shared" si="8"/>
        <v>6.35</v>
      </c>
      <c r="K83" s="111" t="s">
        <v>38</v>
      </c>
      <c r="L83" s="5">
        <v>3.43</v>
      </c>
      <c r="M83" s="54">
        <f t="shared" si="11"/>
        <v>3.43</v>
      </c>
      <c r="P83" s="140"/>
      <c r="Q83" s="140"/>
      <c r="R83" s="137"/>
      <c r="S83" s="138">
        <f t="shared" si="13"/>
        <v>0</v>
      </c>
      <c r="T83" s="138">
        <f t="shared" si="10"/>
        <v>0</v>
      </c>
      <c r="U83" s="139">
        <f t="shared" si="14"/>
        <v>0</v>
      </c>
      <c r="V83" s="140">
        <f t="shared" si="15"/>
        <v>0</v>
      </c>
    </row>
    <row r="84" spans="1:22" ht="15.75">
      <c r="A84" s="109" t="s">
        <v>240</v>
      </c>
      <c r="B84" s="111" t="s">
        <v>38</v>
      </c>
      <c r="C84" s="120">
        <v>3.85</v>
      </c>
      <c r="D84" s="121">
        <f t="shared" si="9"/>
        <v>3.85</v>
      </c>
      <c r="E84" s="111" t="s">
        <v>38</v>
      </c>
      <c r="F84" s="5">
        <v>3.8</v>
      </c>
      <c r="G84" s="54">
        <f t="shared" si="12"/>
        <v>3.8</v>
      </c>
      <c r="H84" s="111" t="s">
        <v>38</v>
      </c>
      <c r="I84" s="5">
        <v>3.96</v>
      </c>
      <c r="J84" s="54">
        <f t="shared" si="8"/>
        <v>3.96</v>
      </c>
      <c r="K84" s="111" t="s">
        <v>38</v>
      </c>
      <c r="L84" s="5">
        <v>3.16</v>
      </c>
      <c r="M84" s="54">
        <f t="shared" si="11"/>
        <v>3.16</v>
      </c>
      <c r="P84" s="140"/>
      <c r="Q84" s="140"/>
      <c r="R84" s="137"/>
      <c r="S84" s="138">
        <f t="shared" si="13"/>
        <v>0</v>
      </c>
      <c r="T84" s="138">
        <f t="shared" si="10"/>
        <v>0</v>
      </c>
      <c r="U84" s="139">
        <f t="shared" si="14"/>
        <v>0</v>
      </c>
      <c r="V84" s="140">
        <f t="shared" si="15"/>
        <v>0</v>
      </c>
    </row>
    <row r="85" spans="1:22" ht="15.75">
      <c r="A85" s="109" t="s">
        <v>241</v>
      </c>
      <c r="B85" s="111" t="s">
        <v>38</v>
      </c>
      <c r="C85" s="120">
        <v>0.97</v>
      </c>
      <c r="D85" s="121">
        <f t="shared" si="9"/>
        <v>0.97</v>
      </c>
      <c r="E85" s="111" t="s">
        <v>38</v>
      </c>
      <c r="F85" s="5">
        <v>2.2</v>
      </c>
      <c r="G85" s="54">
        <f t="shared" si="12"/>
        <v>2.2</v>
      </c>
      <c r="H85" s="111" t="s">
        <v>38</v>
      </c>
      <c r="I85" s="5">
        <v>1.45</v>
      </c>
      <c r="J85" s="54">
        <f t="shared" si="8"/>
        <v>1.45</v>
      </c>
      <c r="K85" s="111" t="s">
        <v>38</v>
      </c>
      <c r="L85" s="5">
        <v>1.51</v>
      </c>
      <c r="M85" s="54">
        <f t="shared" si="11"/>
        <v>1.51</v>
      </c>
      <c r="P85" s="111"/>
      <c r="Q85" s="116"/>
      <c r="R85" s="137"/>
      <c r="S85" s="138">
        <f t="shared" si="13"/>
        <v>0</v>
      </c>
      <c r="T85" s="138">
        <f t="shared" si="10"/>
        <v>0</v>
      </c>
      <c r="U85" s="139">
        <f t="shared" si="14"/>
        <v>0</v>
      </c>
      <c r="V85" s="140">
        <f t="shared" si="15"/>
        <v>0</v>
      </c>
    </row>
    <row r="86" spans="1:22" ht="25.5">
      <c r="A86" s="109" t="s">
        <v>7</v>
      </c>
      <c r="B86" s="111" t="s">
        <v>41</v>
      </c>
      <c r="C86" s="30">
        <f>D86*1000</f>
        <v>18.849999999999998</v>
      </c>
      <c r="D86" s="30">
        <v>0.01885</v>
      </c>
      <c r="E86" s="111" t="s">
        <v>41</v>
      </c>
      <c r="F86" s="5">
        <f>G86*1000</f>
        <v>22</v>
      </c>
      <c r="G86" s="54">
        <v>0.022</v>
      </c>
      <c r="H86" s="111" t="s">
        <v>367</v>
      </c>
      <c r="I86" s="5">
        <v>32.9</v>
      </c>
      <c r="J86" s="134">
        <f>I86/1500</f>
        <v>0.021933333333333332</v>
      </c>
      <c r="K86" s="104" t="s">
        <v>394</v>
      </c>
      <c r="L86" s="5">
        <v>1.2</v>
      </c>
      <c r="M86" s="54">
        <f>L86/50</f>
        <v>0.024</v>
      </c>
      <c r="P86" s="111"/>
      <c r="Q86" s="116"/>
      <c r="R86" s="137"/>
      <c r="S86" s="138">
        <f t="shared" si="13"/>
        <v>0</v>
      </c>
      <c r="T86" s="138">
        <f t="shared" si="10"/>
        <v>0</v>
      </c>
      <c r="U86" s="139">
        <f t="shared" si="14"/>
        <v>0</v>
      </c>
      <c r="V86" s="140">
        <f t="shared" si="15"/>
        <v>0</v>
      </c>
    </row>
    <row r="87" spans="1:22" ht="25.5">
      <c r="A87" s="109" t="s">
        <v>8</v>
      </c>
      <c r="B87" s="111" t="s">
        <v>290</v>
      </c>
      <c r="C87" s="30">
        <f>D87*300</f>
        <v>18.8499</v>
      </c>
      <c r="D87" s="30">
        <v>0.062833</v>
      </c>
      <c r="E87" s="111" t="s">
        <v>331</v>
      </c>
      <c r="F87" s="5">
        <f>G87*400</f>
        <v>31.6</v>
      </c>
      <c r="G87" s="30">
        <v>0.079</v>
      </c>
      <c r="H87" s="111" t="s">
        <v>114</v>
      </c>
      <c r="I87" s="5">
        <v>24.9</v>
      </c>
      <c r="J87" s="54">
        <f>I87/300</f>
        <v>0.08299999999999999</v>
      </c>
      <c r="K87" s="104" t="s">
        <v>395</v>
      </c>
      <c r="L87" s="30">
        <v>1.99</v>
      </c>
      <c r="M87" s="115">
        <f>L87/20</f>
        <v>0.0995</v>
      </c>
      <c r="P87" s="111"/>
      <c r="Q87" s="116"/>
      <c r="R87" s="137"/>
      <c r="S87" s="138">
        <f t="shared" si="13"/>
        <v>0</v>
      </c>
      <c r="T87" s="138">
        <f t="shared" si="10"/>
        <v>0</v>
      </c>
      <c r="U87" s="139">
        <f t="shared" si="14"/>
        <v>0</v>
      </c>
      <c r="V87" s="140">
        <f t="shared" si="15"/>
        <v>0</v>
      </c>
    </row>
    <row r="88" spans="1:22" ht="15.75">
      <c r="A88" s="109" t="s">
        <v>242</v>
      </c>
      <c r="B88" s="111" t="s">
        <v>38</v>
      </c>
      <c r="C88" s="120">
        <v>1.07</v>
      </c>
      <c r="D88" s="30">
        <f>C88/1</f>
        <v>1.07</v>
      </c>
      <c r="E88" s="111" t="s">
        <v>38</v>
      </c>
      <c r="F88" s="5">
        <v>1.2</v>
      </c>
      <c r="G88" s="5">
        <f>F88/1</f>
        <v>1.2</v>
      </c>
      <c r="H88" s="111" t="s">
        <v>38</v>
      </c>
      <c r="I88" s="5">
        <v>1.68</v>
      </c>
      <c r="J88" s="5">
        <f>I88/1</f>
        <v>1.68</v>
      </c>
      <c r="K88" s="111" t="s">
        <v>38</v>
      </c>
      <c r="L88" s="5">
        <v>0.8</v>
      </c>
      <c r="M88" s="5">
        <f>L88/1</f>
        <v>0.8</v>
      </c>
      <c r="P88" s="116"/>
      <c r="Q88" s="116"/>
      <c r="R88" s="137"/>
      <c r="S88" s="138">
        <f t="shared" si="13"/>
        <v>0</v>
      </c>
      <c r="T88" s="138">
        <f t="shared" si="10"/>
        <v>0</v>
      </c>
      <c r="U88" s="139">
        <f t="shared" si="14"/>
        <v>0</v>
      </c>
      <c r="V88" s="140">
        <f t="shared" si="15"/>
        <v>0</v>
      </c>
    </row>
    <row r="89" spans="1:22" ht="15.75">
      <c r="A89" s="227" t="s">
        <v>243</v>
      </c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P89" s="140"/>
      <c r="Q89" s="140"/>
      <c r="R89" s="137"/>
      <c r="S89" s="138">
        <f t="shared" si="13"/>
        <v>0</v>
      </c>
      <c r="T89" s="138">
        <f t="shared" si="10"/>
        <v>0</v>
      </c>
      <c r="U89" s="139">
        <f t="shared" si="14"/>
        <v>0</v>
      </c>
      <c r="V89" s="140">
        <f t="shared" si="15"/>
        <v>0</v>
      </c>
    </row>
    <row r="90" spans="1:22" ht="31.5">
      <c r="A90" s="109" t="s">
        <v>244</v>
      </c>
      <c r="B90" s="4" t="s">
        <v>38</v>
      </c>
      <c r="C90" s="5">
        <v>44</v>
      </c>
      <c r="D90" s="5">
        <f>C90/1</f>
        <v>44</v>
      </c>
      <c r="E90" s="4" t="s">
        <v>38</v>
      </c>
      <c r="F90" s="5">
        <v>48</v>
      </c>
      <c r="G90" s="5">
        <f>F90/1</f>
        <v>48</v>
      </c>
      <c r="H90" s="4" t="s">
        <v>38</v>
      </c>
      <c r="I90" s="5">
        <v>31</v>
      </c>
      <c r="J90" s="5">
        <f>I90/1</f>
        <v>31</v>
      </c>
      <c r="K90" s="4" t="s">
        <v>38</v>
      </c>
      <c r="L90" s="5">
        <v>44.5</v>
      </c>
      <c r="M90" s="5">
        <f>L90/1</f>
        <v>44.5</v>
      </c>
      <c r="P90" s="140"/>
      <c r="Q90" s="140"/>
      <c r="R90" s="137"/>
      <c r="S90" s="138">
        <f t="shared" si="13"/>
        <v>0</v>
      </c>
      <c r="T90" s="138">
        <f t="shared" si="10"/>
        <v>0</v>
      </c>
      <c r="U90" s="139">
        <f t="shared" si="14"/>
        <v>0</v>
      </c>
      <c r="V90" s="140">
        <f t="shared" si="15"/>
        <v>0</v>
      </c>
    </row>
    <row r="91" spans="1:22" ht="15.75">
      <c r="A91" s="109" t="s">
        <v>245</v>
      </c>
      <c r="B91" s="4" t="s">
        <v>38</v>
      </c>
      <c r="C91" s="5">
        <v>1.1</v>
      </c>
      <c r="D91" s="5">
        <f>C91/1</f>
        <v>1.1</v>
      </c>
      <c r="E91" s="4" t="s">
        <v>38</v>
      </c>
      <c r="F91" s="5">
        <v>3.5</v>
      </c>
      <c r="G91" s="5">
        <f>F91/1</f>
        <v>3.5</v>
      </c>
      <c r="H91" s="4" t="s">
        <v>38</v>
      </c>
      <c r="I91" s="5">
        <v>7.9</v>
      </c>
      <c r="J91" s="5">
        <f>I91/1</f>
        <v>7.9</v>
      </c>
      <c r="K91" s="135" t="s">
        <v>298</v>
      </c>
      <c r="L91" s="132"/>
      <c r="M91" s="132"/>
      <c r="P91" s="140"/>
      <c r="Q91" s="140"/>
      <c r="R91" s="137"/>
      <c r="S91" s="138">
        <f t="shared" si="13"/>
        <v>0</v>
      </c>
      <c r="T91" s="138">
        <f t="shared" si="10"/>
        <v>0</v>
      </c>
      <c r="U91" s="139">
        <f t="shared" si="14"/>
        <v>0</v>
      </c>
      <c r="V91" s="140">
        <f t="shared" si="15"/>
        <v>0</v>
      </c>
    </row>
    <row r="92" spans="1:22" ht="15.75">
      <c r="A92" s="109" t="s">
        <v>246</v>
      </c>
      <c r="B92" s="116" t="s">
        <v>291</v>
      </c>
      <c r="C92" s="5">
        <v>3.5</v>
      </c>
      <c r="D92" s="5">
        <f>C92/50</f>
        <v>0.07</v>
      </c>
      <c r="E92" s="116" t="s">
        <v>34</v>
      </c>
      <c r="F92" s="5">
        <v>2.5</v>
      </c>
      <c r="G92" s="54">
        <f>F92/100</f>
        <v>0.025</v>
      </c>
      <c r="H92" s="116" t="s">
        <v>291</v>
      </c>
      <c r="I92" s="5">
        <v>3.5</v>
      </c>
      <c r="J92" s="54">
        <f>I92/50</f>
        <v>0.07</v>
      </c>
      <c r="K92" s="116" t="s">
        <v>291</v>
      </c>
      <c r="L92" s="5">
        <v>3</v>
      </c>
      <c r="M92" s="54">
        <f>L92/50</f>
        <v>0.06</v>
      </c>
      <c r="P92" s="140"/>
      <c r="Q92" s="140"/>
      <c r="R92" s="137"/>
      <c r="S92" s="138">
        <f t="shared" si="13"/>
        <v>0</v>
      </c>
      <c r="T92" s="138">
        <f t="shared" si="10"/>
        <v>0</v>
      </c>
      <c r="U92" s="139">
        <f t="shared" si="14"/>
        <v>0</v>
      </c>
      <c r="V92" s="140">
        <f t="shared" si="15"/>
        <v>0</v>
      </c>
    </row>
    <row r="93" spans="1:22" ht="15.75">
      <c r="A93" s="109" t="s">
        <v>259</v>
      </c>
      <c r="B93" s="116" t="s">
        <v>332</v>
      </c>
      <c r="C93" s="5">
        <v>22.05</v>
      </c>
      <c r="D93" s="5">
        <f>C93/1</f>
        <v>22.05</v>
      </c>
      <c r="E93" s="116" t="s">
        <v>33</v>
      </c>
      <c r="F93" s="5">
        <v>36</v>
      </c>
      <c r="G93" s="5">
        <f>F93/1</f>
        <v>36</v>
      </c>
      <c r="H93" s="116" t="s">
        <v>33</v>
      </c>
      <c r="I93" s="5">
        <v>16.9</v>
      </c>
      <c r="J93" s="5">
        <f>I93/1</f>
        <v>16.9</v>
      </c>
      <c r="K93" s="135" t="s">
        <v>298</v>
      </c>
      <c r="L93" s="132"/>
      <c r="M93" s="132"/>
      <c r="P93" s="140"/>
      <c r="Q93" s="140"/>
      <c r="R93" s="137"/>
      <c r="S93" s="138">
        <f t="shared" si="13"/>
        <v>0</v>
      </c>
      <c r="T93" s="138">
        <f t="shared" si="10"/>
        <v>0</v>
      </c>
      <c r="U93" s="139">
        <f t="shared" si="14"/>
        <v>0</v>
      </c>
      <c r="V93" s="140">
        <f t="shared" si="15"/>
        <v>0</v>
      </c>
    </row>
    <row r="94" spans="1:22" ht="15.75">
      <c r="A94" s="109" t="s">
        <v>247</v>
      </c>
      <c r="B94" s="4" t="s">
        <v>38</v>
      </c>
      <c r="C94" s="5">
        <v>0.55</v>
      </c>
      <c r="D94" s="5">
        <f>C94/1</f>
        <v>0.55</v>
      </c>
      <c r="E94" s="4" t="s">
        <v>37</v>
      </c>
      <c r="F94" s="5">
        <f>G94*25</f>
        <v>16.5</v>
      </c>
      <c r="G94" s="5">
        <v>0.66</v>
      </c>
      <c r="H94" s="4" t="s">
        <v>38</v>
      </c>
      <c r="I94" s="5">
        <v>0.72</v>
      </c>
      <c r="J94" s="5">
        <f>I94/1</f>
        <v>0.72</v>
      </c>
      <c r="K94" s="135" t="s">
        <v>298</v>
      </c>
      <c r="L94" s="132"/>
      <c r="M94" s="132"/>
      <c r="P94" s="140"/>
      <c r="Q94" s="140"/>
      <c r="R94" s="137"/>
      <c r="S94" s="138">
        <f t="shared" si="13"/>
        <v>0</v>
      </c>
      <c r="T94" s="138">
        <f t="shared" si="10"/>
        <v>0</v>
      </c>
      <c r="U94" s="139">
        <f t="shared" si="14"/>
        <v>0</v>
      </c>
      <c r="V94" s="140">
        <f t="shared" si="15"/>
        <v>0</v>
      </c>
    </row>
    <row r="95" spans="1:22" ht="15.75">
      <c r="A95" s="109" t="s">
        <v>248</v>
      </c>
      <c r="B95" s="4" t="s">
        <v>38</v>
      </c>
      <c r="C95" s="5">
        <v>0.55</v>
      </c>
      <c r="D95" s="5">
        <f>C95/1</f>
        <v>0.55</v>
      </c>
      <c r="E95" s="4" t="s">
        <v>298</v>
      </c>
      <c r="F95" s="130" t="s">
        <v>326</v>
      </c>
      <c r="G95" s="130" t="s">
        <v>326</v>
      </c>
      <c r="H95" s="4" t="s">
        <v>38</v>
      </c>
      <c r="I95" s="5">
        <v>0.72</v>
      </c>
      <c r="J95" s="5">
        <f>I95/1</f>
        <v>0.72</v>
      </c>
      <c r="K95" s="4" t="s">
        <v>396</v>
      </c>
      <c r="L95" s="5">
        <v>30.78</v>
      </c>
      <c r="M95" s="5">
        <f>L95/18</f>
        <v>1.71</v>
      </c>
      <c r="P95" s="140"/>
      <c r="Q95" s="140"/>
      <c r="R95" s="137"/>
      <c r="S95" s="138">
        <f t="shared" si="13"/>
        <v>0</v>
      </c>
      <c r="T95" s="138"/>
      <c r="U95" s="139">
        <f t="shared" si="14"/>
        <v>0</v>
      </c>
      <c r="V95" s="140">
        <f t="shared" si="15"/>
        <v>0</v>
      </c>
    </row>
    <row r="96" spans="1:22" ht="25.5">
      <c r="A96" s="109" t="s">
        <v>249</v>
      </c>
      <c r="B96" s="4" t="s">
        <v>38</v>
      </c>
      <c r="C96" s="5">
        <v>1.15</v>
      </c>
      <c r="D96" s="5">
        <f>C96/1</f>
        <v>1.15</v>
      </c>
      <c r="E96" s="4" t="s">
        <v>327</v>
      </c>
      <c r="F96" s="5">
        <f>G96*12</f>
        <v>25.200000000000003</v>
      </c>
      <c r="G96" s="5">
        <v>2.1</v>
      </c>
      <c r="H96" s="4" t="s">
        <v>38</v>
      </c>
      <c r="I96" s="5">
        <v>1.65</v>
      </c>
      <c r="J96" s="5">
        <f>I96/1</f>
        <v>1.65</v>
      </c>
      <c r="K96" s="104" t="s">
        <v>397</v>
      </c>
      <c r="L96" s="5">
        <v>38.28</v>
      </c>
      <c r="M96" s="5">
        <f>L96/12</f>
        <v>3.19</v>
      </c>
      <c r="P96" s="140"/>
      <c r="Q96" s="140"/>
      <c r="R96" s="137"/>
      <c r="S96" s="138">
        <f t="shared" si="13"/>
        <v>0</v>
      </c>
      <c r="T96" s="138">
        <f>Q96*G96</f>
        <v>0</v>
      </c>
      <c r="U96" s="139">
        <f t="shared" si="14"/>
        <v>0</v>
      </c>
      <c r="V96" s="140">
        <f t="shared" si="15"/>
        <v>0</v>
      </c>
    </row>
    <row r="97" spans="1:22" ht="15.75">
      <c r="A97" s="109" t="s">
        <v>250</v>
      </c>
      <c r="B97" s="4" t="s">
        <v>38</v>
      </c>
      <c r="C97" s="5">
        <v>1.85</v>
      </c>
      <c r="D97" s="5">
        <f>C97/1</f>
        <v>1.85</v>
      </c>
      <c r="E97" s="4" t="s">
        <v>327</v>
      </c>
      <c r="F97" s="5">
        <f>G97*12</f>
        <v>30</v>
      </c>
      <c r="G97" s="5">
        <v>2.5</v>
      </c>
      <c r="H97" s="4" t="s">
        <v>38</v>
      </c>
      <c r="I97" s="5">
        <v>1.65</v>
      </c>
      <c r="J97" s="5">
        <f>I97/1</f>
        <v>1.65</v>
      </c>
      <c r="K97" s="104" t="s">
        <v>398</v>
      </c>
      <c r="L97" s="5">
        <v>33.36</v>
      </c>
      <c r="M97" s="5">
        <f>L97/24</f>
        <v>1.39</v>
      </c>
      <c r="P97" s="140"/>
      <c r="Q97" s="140"/>
      <c r="R97" s="137"/>
      <c r="S97" s="138">
        <f t="shared" si="13"/>
        <v>0</v>
      </c>
      <c r="T97" s="138">
        <f>Q97*G97</f>
        <v>0</v>
      </c>
      <c r="U97" s="139">
        <f t="shared" si="14"/>
        <v>0</v>
      </c>
      <c r="V97" s="140">
        <f t="shared" si="15"/>
        <v>0</v>
      </c>
    </row>
    <row r="98" spans="1:22" ht="25.5">
      <c r="A98" s="109" t="s">
        <v>251</v>
      </c>
      <c r="B98" s="116" t="s">
        <v>34</v>
      </c>
      <c r="C98" s="5">
        <v>0.85</v>
      </c>
      <c r="D98" s="115">
        <f>C98/100</f>
        <v>0.0085</v>
      </c>
      <c r="E98" s="116" t="s">
        <v>333</v>
      </c>
      <c r="F98" s="5">
        <f>G98*3000</f>
        <v>26.999999999999996</v>
      </c>
      <c r="G98" s="54">
        <v>0.009</v>
      </c>
      <c r="H98" s="116" t="s">
        <v>34</v>
      </c>
      <c r="I98" s="5">
        <v>0.89</v>
      </c>
      <c r="J98" s="115">
        <f>I98/100</f>
        <v>0.0089</v>
      </c>
      <c r="K98" s="111" t="s">
        <v>399</v>
      </c>
      <c r="L98" s="5">
        <v>1.12</v>
      </c>
      <c r="M98" s="115">
        <f>L98/100</f>
        <v>0.011200000000000002</v>
      </c>
      <c r="P98" s="140"/>
      <c r="Q98" s="140"/>
      <c r="R98" s="137"/>
      <c r="S98" s="138">
        <f t="shared" si="13"/>
        <v>0</v>
      </c>
      <c r="T98" s="138">
        <f>Q98*G98</f>
        <v>0</v>
      </c>
      <c r="U98" s="139">
        <f t="shared" si="14"/>
        <v>0</v>
      </c>
      <c r="V98" s="140">
        <f t="shared" si="15"/>
        <v>0</v>
      </c>
    </row>
    <row r="99" spans="16:22" ht="12.75">
      <c r="P99" s="137"/>
      <c r="Q99" s="137"/>
      <c r="R99" s="137"/>
      <c r="S99" s="136">
        <f>SUM(S6:S98)</f>
        <v>439.46000000000004</v>
      </c>
      <c r="T99" s="136">
        <f>SUM(T6:T98)</f>
        <v>404.28000000000003</v>
      </c>
      <c r="U99" s="136">
        <f>SUM(U6:U98)</f>
        <v>431.06000000000006</v>
      </c>
      <c r="V99" s="136">
        <f>SUM(V6:V98)</f>
        <v>539.96</v>
      </c>
    </row>
  </sheetData>
  <sheetProtection/>
  <mergeCells count="17">
    <mergeCell ref="V4:V5"/>
    <mergeCell ref="A4:A5"/>
    <mergeCell ref="B4:D4"/>
    <mergeCell ref="K4:M4"/>
    <mergeCell ref="U4:U5"/>
    <mergeCell ref="A2:M2"/>
    <mergeCell ref="S4:S5"/>
    <mergeCell ref="T4:T5"/>
    <mergeCell ref="P4:Q5"/>
    <mergeCell ref="A43:M43"/>
    <mergeCell ref="A89:M89"/>
    <mergeCell ref="E4:G4"/>
    <mergeCell ref="H4:J4"/>
    <mergeCell ref="A6:M6"/>
    <mergeCell ref="A18:M18"/>
    <mergeCell ref="A27:M27"/>
    <mergeCell ref="A35:M35"/>
  </mergeCells>
  <printOptions horizontalCentered="1" verticalCentered="1"/>
  <pageMargins left="0.1968503937007874" right="0.1968503937007874" top="0.3937007874015748" bottom="0.7874015748031497" header="0.2362204724409449" footer="0.15748031496062992"/>
  <pageSetup fitToHeight="2" fitToWidth="2" horizontalDpi="600" verticalDpi="600" orientation="portrait" paperSize="8" scale="47" r:id="rId1"/>
  <colBreaks count="1" manualBreakCount="1">
    <brk id="13" max="98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2:V99"/>
  <sheetViews>
    <sheetView view="pageBreakPreview" zoomScale="75" zoomScaleNormal="90" zoomScaleSheetLayoutView="75" zoomScalePageLayoutView="0" workbookViewId="0" topLeftCell="A1">
      <pane xSplit="1" ySplit="5" topLeftCell="B6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F86" sqref="F86"/>
    </sheetView>
  </sheetViews>
  <sheetFormatPr defaultColWidth="9.140625" defaultRowHeight="12.75"/>
  <cols>
    <col min="1" max="1" width="69.421875" style="0" customWidth="1"/>
    <col min="2" max="2" width="20.421875" style="0" customWidth="1"/>
    <col min="3" max="3" width="13.140625" style="0" customWidth="1"/>
    <col min="4" max="4" width="12.28125" style="0" customWidth="1"/>
    <col min="5" max="5" width="24.57421875" style="0" customWidth="1"/>
    <col min="6" max="6" width="8.8515625" style="0" customWidth="1"/>
    <col min="7" max="7" width="10.00390625" style="0" customWidth="1"/>
    <col min="8" max="8" width="25.421875" style="0" bestFit="1" customWidth="1"/>
    <col min="9" max="9" width="11.28125" style="0" customWidth="1"/>
    <col min="10" max="10" width="10.57421875" style="0" customWidth="1"/>
    <col min="11" max="11" width="22.8515625" style="0" bestFit="1" customWidth="1"/>
    <col min="12" max="12" width="10.28125" style="0" customWidth="1"/>
    <col min="13" max="13" width="10.8515625" style="0" customWidth="1"/>
    <col min="14" max="14" width="13.8515625" style="0" customWidth="1"/>
    <col min="15" max="15" width="16.7109375" style="0" customWidth="1"/>
    <col min="16" max="16" width="16.28125" style="0" customWidth="1"/>
    <col min="19" max="19" width="11.421875" style="0" bestFit="1" customWidth="1"/>
    <col min="20" max="20" width="14.00390625" style="0" customWidth="1"/>
    <col min="21" max="21" width="11.421875" style="0" bestFit="1" customWidth="1"/>
    <col min="22" max="22" width="11.00390625" style="0" customWidth="1"/>
  </cols>
  <sheetData>
    <row r="1" ht="13.5" thickBot="1"/>
    <row r="2" spans="1:13" ht="18.75" thickBot="1">
      <c r="A2" s="209" t="s">
        <v>321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1"/>
    </row>
    <row r="3" ht="13.5" thickBot="1"/>
    <row r="4" spans="1:22" ht="15.75" customHeight="1">
      <c r="A4" s="218" t="s">
        <v>0</v>
      </c>
      <c r="B4" s="220" t="s">
        <v>29</v>
      </c>
      <c r="C4" s="221"/>
      <c r="D4" s="222"/>
      <c r="E4" s="228" t="s">
        <v>260</v>
      </c>
      <c r="F4" s="229"/>
      <c r="G4" s="230"/>
      <c r="H4" s="231" t="s">
        <v>76</v>
      </c>
      <c r="I4" s="232"/>
      <c r="J4" s="233"/>
      <c r="K4" s="223" t="s">
        <v>78</v>
      </c>
      <c r="L4" s="224"/>
      <c r="M4" s="225"/>
      <c r="N4" s="10"/>
      <c r="P4" s="216" t="s">
        <v>1</v>
      </c>
      <c r="Q4" s="216"/>
      <c r="S4" s="212" t="s">
        <v>57</v>
      </c>
      <c r="T4" s="214" t="s">
        <v>260</v>
      </c>
      <c r="U4" s="226" t="s">
        <v>134</v>
      </c>
      <c r="V4" s="217" t="s">
        <v>138</v>
      </c>
    </row>
    <row r="5" spans="1:22" ht="18.75" customHeight="1">
      <c r="A5" s="219"/>
      <c r="B5" s="64" t="s">
        <v>2</v>
      </c>
      <c r="C5" s="65" t="s">
        <v>3</v>
      </c>
      <c r="D5" s="66" t="s">
        <v>4</v>
      </c>
      <c r="E5" s="67" t="s">
        <v>2</v>
      </c>
      <c r="F5" s="68" t="s">
        <v>3</v>
      </c>
      <c r="G5" s="69" t="s">
        <v>4</v>
      </c>
      <c r="H5" s="70" t="s">
        <v>2</v>
      </c>
      <c r="I5" s="71" t="s">
        <v>3</v>
      </c>
      <c r="J5" s="72" t="s">
        <v>4</v>
      </c>
      <c r="K5" s="76" t="s">
        <v>2</v>
      </c>
      <c r="L5" s="77" t="s">
        <v>3</v>
      </c>
      <c r="M5" s="78" t="s">
        <v>4</v>
      </c>
      <c r="N5" s="11"/>
      <c r="P5" s="216"/>
      <c r="Q5" s="216"/>
      <c r="S5" s="213"/>
      <c r="T5" s="215"/>
      <c r="U5" s="226"/>
      <c r="V5" s="217"/>
    </row>
    <row r="6" spans="1:22" s="28" customFormat="1" ht="25.5" customHeight="1">
      <c r="A6" s="227" t="s">
        <v>252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9"/>
      <c r="P6" s="111"/>
      <c r="Q6" s="116"/>
      <c r="R6" s="137"/>
      <c r="S6" s="138"/>
      <c r="T6" s="138"/>
      <c r="U6" s="139"/>
      <c r="V6" s="140"/>
    </row>
    <row r="7" spans="1:22" s="28" customFormat="1" ht="47.25">
      <c r="A7" s="109" t="s">
        <v>178</v>
      </c>
      <c r="B7" s="111" t="s">
        <v>261</v>
      </c>
      <c r="C7" s="6">
        <v>1.15</v>
      </c>
      <c r="D7" s="54">
        <f>C7/10</f>
        <v>0.11499999999999999</v>
      </c>
      <c r="E7" s="111" t="s">
        <v>292</v>
      </c>
      <c r="F7" s="5">
        <f>G7*10</f>
        <v>1.1</v>
      </c>
      <c r="G7" s="54">
        <v>0.11</v>
      </c>
      <c r="H7" s="111" t="s">
        <v>334</v>
      </c>
      <c r="I7" s="5">
        <v>0.99</v>
      </c>
      <c r="J7" s="54">
        <f>I7/10</f>
        <v>0.099</v>
      </c>
      <c r="K7" s="111" t="s">
        <v>368</v>
      </c>
      <c r="L7" s="5">
        <v>1.59</v>
      </c>
      <c r="M7" s="54">
        <f>L7/10</f>
        <v>0.159</v>
      </c>
      <c r="N7" s="9"/>
      <c r="P7" s="111"/>
      <c r="Q7" s="116">
        <v>720</v>
      </c>
      <c r="R7" s="137"/>
      <c r="S7" s="138">
        <f aca="true" t="shared" si="0" ref="S7:S38">Q7*D7</f>
        <v>82.8</v>
      </c>
      <c r="T7" s="138">
        <f aca="true" t="shared" si="1" ref="T7:T15">Q7*G7</f>
        <v>79.2</v>
      </c>
      <c r="U7" s="139">
        <f aca="true" t="shared" si="2" ref="U7:U38">Q7*J7</f>
        <v>71.28</v>
      </c>
      <c r="V7" s="140">
        <f aca="true" t="shared" si="3" ref="V7:V38">Q7*M7</f>
        <v>114.48</v>
      </c>
    </row>
    <row r="8" spans="1:22" s="28" customFormat="1" ht="47.25">
      <c r="A8" s="109" t="s">
        <v>26</v>
      </c>
      <c r="B8" s="111" t="s">
        <v>261</v>
      </c>
      <c r="C8" s="6">
        <v>1.15</v>
      </c>
      <c r="D8" s="54">
        <v>0.11499999999999999</v>
      </c>
      <c r="E8" s="111" t="s">
        <v>294</v>
      </c>
      <c r="F8" s="8">
        <f>G8*10</f>
        <v>1</v>
      </c>
      <c r="G8" s="112">
        <v>0.1</v>
      </c>
      <c r="H8" s="111" t="s">
        <v>335</v>
      </c>
      <c r="I8" s="5">
        <v>0.99</v>
      </c>
      <c r="J8" s="54">
        <f>I8/10</f>
        <v>0.099</v>
      </c>
      <c r="K8" s="111" t="s">
        <v>115</v>
      </c>
      <c r="L8" s="5">
        <v>13.4</v>
      </c>
      <c r="M8" s="115">
        <f>L8/12/10</f>
        <v>0.11166666666666666</v>
      </c>
      <c r="N8" s="9"/>
      <c r="P8" s="133"/>
      <c r="Q8" s="124"/>
      <c r="R8" s="137"/>
      <c r="S8" s="138">
        <f t="shared" si="0"/>
        <v>0</v>
      </c>
      <c r="T8" s="138">
        <f t="shared" si="1"/>
        <v>0</v>
      </c>
      <c r="U8" s="139">
        <f t="shared" si="2"/>
        <v>0</v>
      </c>
      <c r="V8" s="140">
        <f t="shared" si="3"/>
        <v>0</v>
      </c>
    </row>
    <row r="9" spans="1:22" s="28" customFormat="1" ht="38.25">
      <c r="A9" s="109" t="s">
        <v>179</v>
      </c>
      <c r="B9" s="111" t="s">
        <v>262</v>
      </c>
      <c r="C9" s="6">
        <v>1.23</v>
      </c>
      <c r="D9" s="54">
        <f>C9/4</f>
        <v>0.3075</v>
      </c>
      <c r="E9" s="111" t="s">
        <v>293</v>
      </c>
      <c r="F9" s="5">
        <f>G9*80</f>
        <v>20</v>
      </c>
      <c r="G9" s="54">
        <v>0.25</v>
      </c>
      <c r="H9" s="111" t="s">
        <v>336</v>
      </c>
      <c r="I9" s="5">
        <v>1.3</v>
      </c>
      <c r="J9" s="54">
        <f>I9/4</f>
        <v>0.325</v>
      </c>
      <c r="K9" s="111" t="s">
        <v>369</v>
      </c>
      <c r="L9" s="5">
        <v>25.2</v>
      </c>
      <c r="M9" s="54">
        <f>L9/80</f>
        <v>0.315</v>
      </c>
      <c r="N9" s="9"/>
      <c r="P9" s="133"/>
      <c r="Q9" s="124">
        <v>80</v>
      </c>
      <c r="R9" s="137"/>
      <c r="S9" s="138">
        <f t="shared" si="0"/>
        <v>24.6</v>
      </c>
      <c r="T9" s="138">
        <f t="shared" si="1"/>
        <v>20</v>
      </c>
      <c r="U9" s="139">
        <f t="shared" si="2"/>
        <v>26</v>
      </c>
      <c r="V9" s="140">
        <f t="shared" si="3"/>
        <v>25.2</v>
      </c>
    </row>
    <row r="10" spans="1:22" s="28" customFormat="1" ht="63">
      <c r="A10" s="110" t="s">
        <v>180</v>
      </c>
      <c r="B10" s="111" t="s">
        <v>263</v>
      </c>
      <c r="C10" s="6">
        <v>5.05</v>
      </c>
      <c r="D10" s="54">
        <f>C10/2</f>
        <v>2.525</v>
      </c>
      <c r="E10" s="111" t="s">
        <v>295</v>
      </c>
      <c r="F10" s="5">
        <f>G10*2</f>
        <v>6</v>
      </c>
      <c r="G10" s="54">
        <v>3</v>
      </c>
      <c r="H10" s="111" t="s">
        <v>337</v>
      </c>
      <c r="I10" s="5">
        <v>5.2</v>
      </c>
      <c r="J10" s="54">
        <f>I10/2</f>
        <v>2.6</v>
      </c>
      <c r="K10" s="111" t="s">
        <v>371</v>
      </c>
      <c r="L10" s="5">
        <v>7.85</v>
      </c>
      <c r="M10" s="54">
        <f>L10/2</f>
        <v>3.925</v>
      </c>
      <c r="N10" s="9"/>
      <c r="P10" s="111"/>
      <c r="Q10" s="116"/>
      <c r="R10" s="137"/>
      <c r="S10" s="138">
        <f t="shared" si="0"/>
        <v>0</v>
      </c>
      <c r="T10" s="138">
        <f t="shared" si="1"/>
        <v>0</v>
      </c>
      <c r="U10" s="139">
        <f t="shared" si="2"/>
        <v>0</v>
      </c>
      <c r="V10" s="140">
        <f t="shared" si="3"/>
        <v>0</v>
      </c>
    </row>
    <row r="11" spans="1:22" s="28" customFormat="1" ht="63">
      <c r="A11" s="110" t="s">
        <v>181</v>
      </c>
      <c r="B11" s="111" t="s">
        <v>263</v>
      </c>
      <c r="C11" s="6">
        <v>5.05</v>
      </c>
      <c r="D11" s="54">
        <f>C11/2</f>
        <v>2.525</v>
      </c>
      <c r="E11" s="111" t="s">
        <v>296</v>
      </c>
      <c r="F11" s="5">
        <f>G11*2</f>
        <v>4.8</v>
      </c>
      <c r="G11" s="54">
        <v>2.4</v>
      </c>
      <c r="H11" s="111" t="s">
        <v>338</v>
      </c>
      <c r="I11" s="5">
        <v>4.99</v>
      </c>
      <c r="J11" s="54">
        <f>I11/2</f>
        <v>2.495</v>
      </c>
      <c r="K11" s="111" t="s">
        <v>370</v>
      </c>
      <c r="L11" s="5">
        <v>5.98</v>
      </c>
      <c r="M11" s="54">
        <f>L11/2</f>
        <v>2.99</v>
      </c>
      <c r="N11" s="9"/>
      <c r="P11" s="140"/>
      <c r="Q11" s="116">
        <v>60</v>
      </c>
      <c r="R11" s="137"/>
      <c r="S11" s="138">
        <f t="shared" si="0"/>
        <v>151.5</v>
      </c>
      <c r="T11" s="138">
        <f t="shared" si="1"/>
        <v>144</v>
      </c>
      <c r="U11" s="139">
        <f t="shared" si="2"/>
        <v>149.70000000000002</v>
      </c>
      <c r="V11" s="140">
        <f t="shared" si="3"/>
        <v>179.4</v>
      </c>
    </row>
    <row r="12" spans="1:22" s="28" customFormat="1" ht="15.75">
      <c r="A12" s="109" t="s">
        <v>182</v>
      </c>
      <c r="B12" s="111" t="s">
        <v>264</v>
      </c>
      <c r="C12" s="6">
        <f>D12*3840</f>
        <v>25.80096</v>
      </c>
      <c r="D12" s="114">
        <v>0.006719</v>
      </c>
      <c r="E12" s="111" t="s">
        <v>297</v>
      </c>
      <c r="F12" s="5">
        <f>G12*3750</f>
        <v>14.25</v>
      </c>
      <c r="G12" s="115">
        <v>0.0038</v>
      </c>
      <c r="H12" s="111" t="s">
        <v>339</v>
      </c>
      <c r="I12" s="5">
        <v>12.5</v>
      </c>
      <c r="J12" s="115">
        <f>I12/3150</f>
        <v>0.003968253968253968</v>
      </c>
      <c r="K12" s="111" t="s">
        <v>372</v>
      </c>
      <c r="L12" s="5">
        <v>21.27</v>
      </c>
      <c r="M12" s="115">
        <f>L12/3060</f>
        <v>0.006950980392156862</v>
      </c>
      <c r="N12" s="9"/>
      <c r="P12" s="111"/>
      <c r="Q12" s="116"/>
      <c r="R12" s="137"/>
      <c r="S12" s="138">
        <f t="shared" si="0"/>
        <v>0</v>
      </c>
      <c r="T12" s="138">
        <f t="shared" si="1"/>
        <v>0</v>
      </c>
      <c r="U12" s="139">
        <f t="shared" si="2"/>
        <v>0</v>
      </c>
      <c r="V12" s="140">
        <f t="shared" si="3"/>
        <v>0</v>
      </c>
    </row>
    <row r="13" spans="1:22" s="28" customFormat="1" ht="15.75">
      <c r="A13" s="109" t="s">
        <v>183</v>
      </c>
      <c r="B13" s="111" t="s">
        <v>38</v>
      </c>
      <c r="C13" s="6">
        <v>10.4</v>
      </c>
      <c r="D13" s="54">
        <f>C13</f>
        <v>10.4</v>
      </c>
      <c r="E13" s="104" t="s">
        <v>38</v>
      </c>
      <c r="F13" s="8">
        <v>16</v>
      </c>
      <c r="G13" s="54">
        <f>F13/1</f>
        <v>16</v>
      </c>
      <c r="H13" s="127" t="s">
        <v>38</v>
      </c>
      <c r="I13" s="8">
        <v>15.2</v>
      </c>
      <c r="J13" s="54">
        <f>I13/1</f>
        <v>15.2</v>
      </c>
      <c r="K13" s="131" t="s">
        <v>38</v>
      </c>
      <c r="L13" s="8">
        <v>13.72</v>
      </c>
      <c r="M13" s="54">
        <f>L13/1</f>
        <v>13.72</v>
      </c>
      <c r="N13" s="9"/>
      <c r="P13" s="111"/>
      <c r="Q13" s="116"/>
      <c r="R13" s="137"/>
      <c r="S13" s="138">
        <f t="shared" si="0"/>
        <v>0</v>
      </c>
      <c r="T13" s="138">
        <f t="shared" si="1"/>
        <v>0</v>
      </c>
      <c r="U13" s="139">
        <f t="shared" si="2"/>
        <v>0</v>
      </c>
      <c r="V13" s="140">
        <f t="shared" si="3"/>
        <v>0</v>
      </c>
    </row>
    <row r="14" spans="1:22" s="28" customFormat="1" ht="35.25" customHeight="1">
      <c r="A14" s="109" t="s">
        <v>184</v>
      </c>
      <c r="B14" s="111" t="s">
        <v>38</v>
      </c>
      <c r="C14" s="6">
        <v>8.1</v>
      </c>
      <c r="D14" s="54">
        <f>C14</f>
        <v>8.1</v>
      </c>
      <c r="E14" s="104" t="s">
        <v>38</v>
      </c>
      <c r="F14" s="5">
        <v>6.8</v>
      </c>
      <c r="G14" s="54">
        <f>F14/1</f>
        <v>6.8</v>
      </c>
      <c r="H14" s="104" t="s">
        <v>38</v>
      </c>
      <c r="I14" s="5">
        <v>15.1</v>
      </c>
      <c r="J14" s="54">
        <f>I14/1</f>
        <v>15.1</v>
      </c>
      <c r="K14" s="104" t="s">
        <v>38</v>
      </c>
      <c r="L14" s="5">
        <v>6.6</v>
      </c>
      <c r="M14" s="54">
        <f>L14/1</f>
        <v>6.6</v>
      </c>
      <c r="N14" s="9"/>
      <c r="P14" s="111"/>
      <c r="Q14" s="116"/>
      <c r="R14" s="137"/>
      <c r="S14" s="138">
        <f t="shared" si="0"/>
        <v>0</v>
      </c>
      <c r="T14" s="138">
        <f t="shared" si="1"/>
        <v>0</v>
      </c>
      <c r="U14" s="139">
        <f t="shared" si="2"/>
        <v>0</v>
      </c>
      <c r="V14" s="140">
        <f t="shared" si="3"/>
        <v>0</v>
      </c>
    </row>
    <row r="15" spans="1:22" s="28" customFormat="1" ht="36.75" customHeight="1">
      <c r="A15" s="109" t="s">
        <v>185</v>
      </c>
      <c r="B15" s="111" t="s">
        <v>265</v>
      </c>
      <c r="C15" s="6">
        <v>13.1</v>
      </c>
      <c r="D15" s="54">
        <f>C15</f>
        <v>13.1</v>
      </c>
      <c r="E15" s="104" t="s">
        <v>265</v>
      </c>
      <c r="F15" s="5">
        <v>12.5</v>
      </c>
      <c r="G15" s="54">
        <f>F15/1</f>
        <v>12.5</v>
      </c>
      <c r="H15" s="104" t="s">
        <v>340</v>
      </c>
      <c r="I15" s="5">
        <v>12.5</v>
      </c>
      <c r="J15" s="54">
        <f>I15/1</f>
        <v>12.5</v>
      </c>
      <c r="K15" s="104" t="s">
        <v>38</v>
      </c>
      <c r="L15" s="5">
        <v>9.34</v>
      </c>
      <c r="M15" s="54">
        <f>L15/1</f>
        <v>9.34</v>
      </c>
      <c r="N15" s="9"/>
      <c r="P15" s="111"/>
      <c r="Q15" s="116"/>
      <c r="R15" s="137"/>
      <c r="S15" s="138">
        <f t="shared" si="0"/>
        <v>0</v>
      </c>
      <c r="T15" s="138">
        <f t="shared" si="1"/>
        <v>0</v>
      </c>
      <c r="U15" s="139">
        <f t="shared" si="2"/>
        <v>0</v>
      </c>
      <c r="V15" s="140">
        <f t="shared" si="3"/>
        <v>0</v>
      </c>
    </row>
    <row r="16" spans="1:22" s="28" customFormat="1" ht="35.25" customHeight="1">
      <c r="A16" s="109" t="s">
        <v>186</v>
      </c>
      <c r="B16" s="111" t="s">
        <v>38</v>
      </c>
      <c r="C16" s="6">
        <v>1.4</v>
      </c>
      <c r="D16" s="54">
        <f>C16</f>
        <v>1.4</v>
      </c>
      <c r="E16" s="104" t="s">
        <v>38</v>
      </c>
      <c r="F16" s="122" t="s">
        <v>298</v>
      </c>
      <c r="G16" s="123" t="s">
        <v>298</v>
      </c>
      <c r="H16" s="104" t="s">
        <v>341</v>
      </c>
      <c r="I16" s="128">
        <v>1.45</v>
      </c>
      <c r="J16" s="54">
        <f>I16/1</f>
        <v>1.45</v>
      </c>
      <c r="K16" s="104" t="s">
        <v>373</v>
      </c>
      <c r="L16" s="128">
        <v>1.19</v>
      </c>
      <c r="M16" s="54">
        <f>L16/1</f>
        <v>1.19</v>
      </c>
      <c r="N16" s="9"/>
      <c r="P16" s="111"/>
      <c r="Q16" s="116"/>
      <c r="R16" s="137"/>
      <c r="S16" s="138">
        <f t="shared" si="0"/>
        <v>0</v>
      </c>
      <c r="T16" s="138"/>
      <c r="U16" s="139">
        <f t="shared" si="2"/>
        <v>0</v>
      </c>
      <c r="V16" s="140">
        <f t="shared" si="3"/>
        <v>0</v>
      </c>
    </row>
    <row r="17" spans="1:22" s="28" customFormat="1" ht="25.5" customHeight="1">
      <c r="A17" s="109" t="s">
        <v>187</v>
      </c>
      <c r="B17" s="111" t="s">
        <v>38</v>
      </c>
      <c r="C17" s="6">
        <v>1.4</v>
      </c>
      <c r="D17" s="54">
        <f>C17</f>
        <v>1.4</v>
      </c>
      <c r="E17" s="111" t="s">
        <v>38</v>
      </c>
      <c r="F17" s="5">
        <v>1.3</v>
      </c>
      <c r="G17" s="115">
        <f>F17/1</f>
        <v>1.3</v>
      </c>
      <c r="H17" s="111" t="s">
        <v>38</v>
      </c>
      <c r="I17" s="5">
        <v>1.45</v>
      </c>
      <c r="J17" s="115">
        <f>I17/1</f>
        <v>1.45</v>
      </c>
      <c r="K17" s="111" t="s">
        <v>38</v>
      </c>
      <c r="L17" s="5">
        <v>1.56</v>
      </c>
      <c r="M17" s="115">
        <f>L17/1</f>
        <v>1.56</v>
      </c>
      <c r="N17" s="9"/>
      <c r="P17" s="111"/>
      <c r="Q17" s="116"/>
      <c r="R17" s="137"/>
      <c r="S17" s="138">
        <f t="shared" si="0"/>
        <v>0</v>
      </c>
      <c r="T17" s="138">
        <f aca="true" t="shared" si="4" ref="T17:T54">Q17*G17</f>
        <v>0</v>
      </c>
      <c r="U17" s="139">
        <f t="shared" si="2"/>
        <v>0</v>
      </c>
      <c r="V17" s="140">
        <f t="shared" si="3"/>
        <v>0</v>
      </c>
    </row>
    <row r="18" spans="1:22" s="28" customFormat="1" ht="15.75">
      <c r="A18" s="227" t="s">
        <v>188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9"/>
      <c r="P18" s="133"/>
      <c r="Q18" s="124"/>
      <c r="R18" s="137"/>
      <c r="S18" s="138">
        <f t="shared" si="0"/>
        <v>0</v>
      </c>
      <c r="T18" s="138">
        <f t="shared" si="4"/>
        <v>0</v>
      </c>
      <c r="U18" s="139">
        <f t="shared" si="2"/>
        <v>0</v>
      </c>
      <c r="V18" s="140">
        <f t="shared" si="3"/>
        <v>0</v>
      </c>
    </row>
    <row r="19" spans="1:22" s="28" customFormat="1" ht="47.25">
      <c r="A19" s="109" t="s">
        <v>253</v>
      </c>
      <c r="B19" s="111" t="s">
        <v>266</v>
      </c>
      <c r="C19" s="6">
        <v>1.45</v>
      </c>
      <c r="D19" s="54">
        <f>C19</f>
        <v>1.45</v>
      </c>
      <c r="E19" s="111" t="s">
        <v>299</v>
      </c>
      <c r="F19" s="5">
        <v>1.65</v>
      </c>
      <c r="G19" s="115">
        <f>F19/750*1000</f>
        <v>2.1999999999999997</v>
      </c>
      <c r="H19" s="111" t="s">
        <v>342</v>
      </c>
      <c r="I19" s="5">
        <v>1.09</v>
      </c>
      <c r="J19" s="115">
        <f>I19/750*1000</f>
        <v>1.4533333333333334</v>
      </c>
      <c r="K19" s="111" t="s">
        <v>374</v>
      </c>
      <c r="L19" s="5">
        <v>1.24</v>
      </c>
      <c r="M19" s="115">
        <f>L19/750*1000</f>
        <v>1.6533333333333333</v>
      </c>
      <c r="N19" s="9"/>
      <c r="P19" s="133"/>
      <c r="Q19" s="116"/>
      <c r="R19" s="137"/>
      <c r="S19" s="138">
        <f t="shared" si="0"/>
        <v>0</v>
      </c>
      <c r="T19" s="138">
        <f t="shared" si="4"/>
        <v>0</v>
      </c>
      <c r="U19" s="139">
        <f t="shared" si="2"/>
        <v>0</v>
      </c>
      <c r="V19" s="140">
        <f t="shared" si="3"/>
        <v>0</v>
      </c>
    </row>
    <row r="20" spans="1:22" s="28" customFormat="1" ht="38.25">
      <c r="A20" s="109" t="s">
        <v>254</v>
      </c>
      <c r="B20" s="111" t="s">
        <v>267</v>
      </c>
      <c r="C20" s="6">
        <v>3</v>
      </c>
      <c r="D20" s="54">
        <f>C20/5</f>
        <v>0.6</v>
      </c>
      <c r="E20" s="111" t="s">
        <v>300</v>
      </c>
      <c r="F20" s="5">
        <f>G20*5</f>
        <v>3.5</v>
      </c>
      <c r="G20" s="54">
        <v>0.7</v>
      </c>
      <c r="H20" s="111" t="s">
        <v>343</v>
      </c>
      <c r="I20" s="5">
        <v>1.3</v>
      </c>
      <c r="J20" s="115">
        <f>I20/750*1000</f>
        <v>1.7333333333333334</v>
      </c>
      <c r="K20" s="111" t="s">
        <v>375</v>
      </c>
      <c r="L20" s="5">
        <v>4.24</v>
      </c>
      <c r="M20" s="115">
        <f>L20/5</f>
        <v>0.8480000000000001</v>
      </c>
      <c r="N20" s="9"/>
      <c r="P20" s="111"/>
      <c r="Q20" s="116"/>
      <c r="R20" s="137"/>
      <c r="S20" s="138">
        <f t="shared" si="0"/>
        <v>0</v>
      </c>
      <c r="T20" s="138">
        <f t="shared" si="4"/>
        <v>0</v>
      </c>
      <c r="U20" s="139">
        <f t="shared" si="2"/>
        <v>0</v>
      </c>
      <c r="V20" s="140">
        <f t="shared" si="3"/>
        <v>0</v>
      </c>
    </row>
    <row r="21" spans="1:22" s="28" customFormat="1" ht="38.25">
      <c r="A21" s="109" t="s">
        <v>189</v>
      </c>
      <c r="B21" s="111" t="s">
        <v>268</v>
      </c>
      <c r="C21" s="6">
        <v>0.95</v>
      </c>
      <c r="D21" s="54">
        <f>C21/750*1000</f>
        <v>1.2666666666666666</v>
      </c>
      <c r="E21" s="111" t="s">
        <v>301</v>
      </c>
      <c r="F21" s="5">
        <v>0.85</v>
      </c>
      <c r="G21" s="54">
        <f>F21/750*1000</f>
        <v>1.1333333333333333</v>
      </c>
      <c r="H21" s="111" t="s">
        <v>344</v>
      </c>
      <c r="I21" s="5">
        <v>1.3</v>
      </c>
      <c r="J21" s="115">
        <f>I21/750*1000</f>
        <v>1.7333333333333334</v>
      </c>
      <c r="K21" s="111" t="s">
        <v>376</v>
      </c>
      <c r="L21" s="5">
        <v>1.12</v>
      </c>
      <c r="M21" s="115">
        <f>L21/750*1000</f>
        <v>1.4933333333333334</v>
      </c>
      <c r="N21" s="9"/>
      <c r="P21" s="111"/>
      <c r="Q21" s="116">
        <v>36</v>
      </c>
      <c r="R21" s="137"/>
      <c r="S21" s="138">
        <f t="shared" si="0"/>
        <v>45.599999999999994</v>
      </c>
      <c r="T21" s="138">
        <f t="shared" si="4"/>
        <v>40.8</v>
      </c>
      <c r="U21" s="139">
        <f t="shared" si="2"/>
        <v>62.400000000000006</v>
      </c>
      <c r="V21" s="140">
        <f t="shared" si="3"/>
        <v>53.760000000000005</v>
      </c>
    </row>
    <row r="22" spans="1:22" s="28" customFormat="1" ht="31.5">
      <c r="A22" s="109" t="s">
        <v>58</v>
      </c>
      <c r="B22" s="111" t="s">
        <v>269</v>
      </c>
      <c r="C22" s="6">
        <v>1.23</v>
      </c>
      <c r="D22" s="54">
        <f>C22/750*1000</f>
        <v>1.64</v>
      </c>
      <c r="E22" s="111" t="s">
        <v>302</v>
      </c>
      <c r="F22" s="5">
        <v>0.95</v>
      </c>
      <c r="G22" s="54">
        <f>F22/500*1000</f>
        <v>1.9</v>
      </c>
      <c r="H22" s="111" t="s">
        <v>345</v>
      </c>
      <c r="I22" s="5">
        <v>0.92</v>
      </c>
      <c r="J22" s="54">
        <f>I22/1</f>
        <v>0.92</v>
      </c>
      <c r="K22" s="111" t="s">
        <v>377</v>
      </c>
      <c r="L22" s="5">
        <v>0.93</v>
      </c>
      <c r="M22" s="54">
        <f>L22/500*1000</f>
        <v>1.86</v>
      </c>
      <c r="N22" s="9"/>
      <c r="P22" s="111"/>
      <c r="Q22" s="116"/>
      <c r="R22" s="137"/>
      <c r="S22" s="138">
        <f t="shared" si="0"/>
        <v>0</v>
      </c>
      <c r="T22" s="138">
        <f t="shared" si="4"/>
        <v>0</v>
      </c>
      <c r="U22" s="139">
        <f t="shared" si="2"/>
        <v>0</v>
      </c>
      <c r="V22" s="140">
        <f t="shared" si="3"/>
        <v>0</v>
      </c>
    </row>
    <row r="23" spans="1:22" s="28" customFormat="1" ht="29.25" customHeight="1">
      <c r="A23" s="109" t="s">
        <v>190</v>
      </c>
      <c r="B23" s="111" t="s">
        <v>270</v>
      </c>
      <c r="C23" s="6">
        <v>1.45</v>
      </c>
      <c r="D23" s="54">
        <f>C23/1</f>
        <v>1.45</v>
      </c>
      <c r="E23" s="111" t="s">
        <v>303</v>
      </c>
      <c r="F23" s="5">
        <v>1.26</v>
      </c>
      <c r="G23" s="54">
        <f>F23/750*1000</f>
        <v>1.6800000000000002</v>
      </c>
      <c r="H23" s="111" t="s">
        <v>270</v>
      </c>
      <c r="I23" s="5">
        <v>1.32</v>
      </c>
      <c r="J23" s="54">
        <f>I23/1</f>
        <v>1.32</v>
      </c>
      <c r="K23" s="111" t="s">
        <v>378</v>
      </c>
      <c r="L23" s="5">
        <v>1.36</v>
      </c>
      <c r="M23" s="54">
        <f>L23/1</f>
        <v>1.36</v>
      </c>
      <c r="N23" s="9"/>
      <c r="P23" s="111"/>
      <c r="Q23" s="116">
        <v>12</v>
      </c>
      <c r="R23" s="137"/>
      <c r="S23" s="138">
        <f t="shared" si="0"/>
        <v>17.4</v>
      </c>
      <c r="T23" s="138">
        <f t="shared" si="4"/>
        <v>20.160000000000004</v>
      </c>
      <c r="U23" s="139">
        <f t="shared" si="2"/>
        <v>15.84</v>
      </c>
      <c r="V23" s="140">
        <f t="shared" si="3"/>
        <v>16.32</v>
      </c>
    </row>
    <row r="24" spans="1:22" s="28" customFormat="1" ht="38.25">
      <c r="A24" s="109" t="s">
        <v>191</v>
      </c>
      <c r="B24" s="111" t="s">
        <v>271</v>
      </c>
      <c r="C24" s="6">
        <v>0.31</v>
      </c>
      <c r="D24" s="54">
        <f>C24/1</f>
        <v>0.31</v>
      </c>
      <c r="E24" s="111" t="s">
        <v>304</v>
      </c>
      <c r="F24" s="5">
        <v>0.33</v>
      </c>
      <c r="G24" s="54">
        <f>F24/1</f>
        <v>0.33</v>
      </c>
      <c r="H24" s="111" t="s">
        <v>346</v>
      </c>
      <c r="I24" s="5">
        <v>0.4</v>
      </c>
      <c r="J24" s="54">
        <f>I24/1</f>
        <v>0.4</v>
      </c>
      <c r="K24" s="111" t="s">
        <v>379</v>
      </c>
      <c r="L24" s="5">
        <v>0.49</v>
      </c>
      <c r="M24" s="54">
        <f>L24/1</f>
        <v>0.49</v>
      </c>
      <c r="N24" s="9"/>
      <c r="P24" s="111"/>
      <c r="Q24" s="116"/>
      <c r="R24" s="137"/>
      <c r="S24" s="138">
        <f t="shared" si="0"/>
        <v>0</v>
      </c>
      <c r="T24" s="138">
        <f t="shared" si="4"/>
        <v>0</v>
      </c>
      <c r="U24" s="139">
        <f t="shared" si="2"/>
        <v>0</v>
      </c>
      <c r="V24" s="140">
        <f t="shared" si="3"/>
        <v>0</v>
      </c>
    </row>
    <row r="25" spans="1:22" s="28" customFormat="1" ht="25.5">
      <c r="A25" s="109" t="s">
        <v>192</v>
      </c>
      <c r="B25" s="111" t="s">
        <v>272</v>
      </c>
      <c r="C25" s="6">
        <v>0.68</v>
      </c>
      <c r="D25" s="115">
        <f>C25/2</f>
        <v>0.34</v>
      </c>
      <c r="E25" s="111" t="s">
        <v>305</v>
      </c>
      <c r="F25" s="5">
        <v>1.4</v>
      </c>
      <c r="G25" s="54">
        <f>F25/4</f>
        <v>0.35</v>
      </c>
      <c r="H25" s="111" t="s">
        <v>347</v>
      </c>
      <c r="I25" s="5">
        <v>0.64</v>
      </c>
      <c r="J25" s="54">
        <f>I25/2</f>
        <v>0.32</v>
      </c>
      <c r="K25" s="111" t="s">
        <v>380</v>
      </c>
      <c r="L25" s="5">
        <v>0.67</v>
      </c>
      <c r="M25" s="54">
        <f>L25/2</f>
        <v>0.335</v>
      </c>
      <c r="N25" s="9"/>
      <c r="P25" s="111"/>
      <c r="Q25" s="116">
        <v>32</v>
      </c>
      <c r="R25" s="137"/>
      <c r="S25" s="138">
        <f t="shared" si="0"/>
        <v>10.88</v>
      </c>
      <c r="T25" s="138">
        <f t="shared" si="4"/>
        <v>11.2</v>
      </c>
      <c r="U25" s="139">
        <f t="shared" si="2"/>
        <v>10.24</v>
      </c>
      <c r="V25" s="140">
        <f t="shared" si="3"/>
        <v>10.72</v>
      </c>
    </row>
    <row r="26" spans="1:22" s="28" customFormat="1" ht="30.75" customHeight="1">
      <c r="A26" s="109" t="s">
        <v>193</v>
      </c>
      <c r="B26" s="116" t="s">
        <v>273</v>
      </c>
      <c r="C26" s="6">
        <f>D26*5</f>
        <v>18.25</v>
      </c>
      <c r="D26" s="54">
        <v>3.65</v>
      </c>
      <c r="E26" s="113" t="s">
        <v>306</v>
      </c>
      <c r="F26" s="5">
        <v>7.5</v>
      </c>
      <c r="G26" s="54">
        <f>F26/5</f>
        <v>1.5</v>
      </c>
      <c r="H26" s="113" t="s">
        <v>348</v>
      </c>
      <c r="I26" s="5">
        <v>1.82</v>
      </c>
      <c r="J26" s="54">
        <f>I26/4</f>
        <v>0.455</v>
      </c>
      <c r="K26" s="111" t="s">
        <v>379</v>
      </c>
      <c r="L26" s="5">
        <v>6.95</v>
      </c>
      <c r="M26" s="54">
        <f>L26/1</f>
        <v>6.95</v>
      </c>
      <c r="N26" s="9"/>
      <c r="P26" s="111"/>
      <c r="Q26" s="116"/>
      <c r="R26" s="137"/>
      <c r="S26" s="138">
        <f t="shared" si="0"/>
        <v>0</v>
      </c>
      <c r="T26" s="138">
        <f t="shared" si="4"/>
        <v>0</v>
      </c>
      <c r="U26" s="139">
        <f t="shared" si="2"/>
        <v>0</v>
      </c>
      <c r="V26" s="140">
        <f t="shared" si="3"/>
        <v>0</v>
      </c>
    </row>
    <row r="27" spans="1:22" s="28" customFormat="1" ht="38.25" customHeight="1">
      <c r="A27" s="227" t="s">
        <v>194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9"/>
      <c r="P27" s="111"/>
      <c r="Q27" s="116"/>
      <c r="R27" s="137"/>
      <c r="S27" s="138">
        <f t="shared" si="0"/>
        <v>0</v>
      </c>
      <c r="T27" s="138">
        <f t="shared" si="4"/>
        <v>0</v>
      </c>
      <c r="U27" s="139">
        <f t="shared" si="2"/>
        <v>0</v>
      </c>
      <c r="V27" s="140">
        <f t="shared" si="3"/>
        <v>0</v>
      </c>
    </row>
    <row r="28" spans="1:22" s="28" customFormat="1" ht="31.5">
      <c r="A28" s="109" t="s">
        <v>195</v>
      </c>
      <c r="B28" s="111" t="s">
        <v>274</v>
      </c>
      <c r="C28" s="6">
        <v>2.85</v>
      </c>
      <c r="D28" s="54">
        <f>C28/5</f>
        <v>0.5700000000000001</v>
      </c>
      <c r="E28" s="113" t="s">
        <v>307</v>
      </c>
      <c r="F28" s="5">
        <v>1.8</v>
      </c>
      <c r="G28" s="54">
        <f>F28/4</f>
        <v>0.45</v>
      </c>
      <c r="H28" s="113" t="s">
        <v>349</v>
      </c>
      <c r="I28" s="5">
        <v>2.9</v>
      </c>
      <c r="J28" s="54">
        <f>I28/5</f>
        <v>0.58</v>
      </c>
      <c r="K28" s="111" t="s">
        <v>375</v>
      </c>
      <c r="L28" s="61">
        <v>3.46</v>
      </c>
      <c r="M28" s="115">
        <f>L28/5</f>
        <v>0.692</v>
      </c>
      <c r="N28" s="9"/>
      <c r="P28" s="111"/>
      <c r="Q28" s="116">
        <v>80</v>
      </c>
      <c r="R28" s="137"/>
      <c r="S28" s="138">
        <f t="shared" si="0"/>
        <v>45.60000000000001</v>
      </c>
      <c r="T28" s="138">
        <f t="shared" si="4"/>
        <v>36</v>
      </c>
      <c r="U28" s="139">
        <f t="shared" si="2"/>
        <v>46.4</v>
      </c>
      <c r="V28" s="140">
        <f t="shared" si="3"/>
        <v>55.36</v>
      </c>
    </row>
    <row r="29" spans="1:22" s="28" customFormat="1" ht="31.5">
      <c r="A29" s="109" t="s">
        <v>196</v>
      </c>
      <c r="B29" s="111" t="s">
        <v>275</v>
      </c>
      <c r="C29" s="6">
        <v>5.03</v>
      </c>
      <c r="D29" s="54">
        <f>C29/5</f>
        <v>1.006</v>
      </c>
      <c r="E29" s="111" t="s">
        <v>308</v>
      </c>
      <c r="F29" s="5">
        <v>4</v>
      </c>
      <c r="G29" s="54">
        <f>F29/5</f>
        <v>0.8</v>
      </c>
      <c r="H29" s="111" t="s">
        <v>350</v>
      </c>
      <c r="I29" s="5">
        <v>4.45</v>
      </c>
      <c r="J29" s="54">
        <f>I29/5</f>
        <v>0.89</v>
      </c>
      <c r="K29" s="111" t="s">
        <v>381</v>
      </c>
      <c r="L29" s="6">
        <v>8.48</v>
      </c>
      <c r="M29" s="115">
        <f>L29/5</f>
        <v>1.6960000000000002</v>
      </c>
      <c r="N29" s="9"/>
      <c r="P29" s="111"/>
      <c r="Q29" s="116">
        <v>20</v>
      </c>
      <c r="R29" s="137"/>
      <c r="S29" s="138">
        <f t="shared" si="0"/>
        <v>20.12</v>
      </c>
      <c r="T29" s="138">
        <f t="shared" si="4"/>
        <v>16</v>
      </c>
      <c r="U29" s="139">
        <f t="shared" si="2"/>
        <v>17.8</v>
      </c>
      <c r="V29" s="140">
        <f t="shared" si="3"/>
        <v>33.92</v>
      </c>
    </row>
    <row r="30" spans="1:22" s="28" customFormat="1" ht="47.25">
      <c r="A30" s="109" t="s">
        <v>197</v>
      </c>
      <c r="B30" s="111" t="s">
        <v>276</v>
      </c>
      <c r="C30" s="6">
        <v>1.7</v>
      </c>
      <c r="D30" s="54">
        <f>C30/750*1000</f>
        <v>2.2666666666666666</v>
      </c>
      <c r="E30" s="111" t="s">
        <v>309</v>
      </c>
      <c r="F30" s="5">
        <v>1.2</v>
      </c>
      <c r="G30" s="54">
        <f>F30/750*1000</f>
        <v>1.5999999999999999</v>
      </c>
      <c r="H30" s="111" t="s">
        <v>351</v>
      </c>
      <c r="I30" s="5">
        <v>1.09</v>
      </c>
      <c r="J30" s="54">
        <f>I30/750*1000</f>
        <v>1.4533333333333334</v>
      </c>
      <c r="K30" s="111" t="s">
        <v>376</v>
      </c>
      <c r="L30" s="6">
        <v>1.33</v>
      </c>
      <c r="M30" s="54">
        <f>L30/750*1000</f>
        <v>1.7733333333333334</v>
      </c>
      <c r="N30" s="29"/>
      <c r="P30" s="111"/>
      <c r="Q30" s="116">
        <v>18</v>
      </c>
      <c r="R30" s="137"/>
      <c r="S30" s="138">
        <f t="shared" si="0"/>
        <v>40.8</v>
      </c>
      <c r="T30" s="138">
        <f t="shared" si="4"/>
        <v>28.799999999999997</v>
      </c>
      <c r="U30" s="139">
        <f t="shared" si="2"/>
        <v>26.16</v>
      </c>
      <c r="V30" s="140">
        <f t="shared" si="3"/>
        <v>31.92</v>
      </c>
    </row>
    <row r="31" spans="1:22" s="28" customFormat="1" ht="31.5">
      <c r="A31" s="109" t="s">
        <v>198</v>
      </c>
      <c r="B31" s="111" t="s">
        <v>277</v>
      </c>
      <c r="C31" s="7">
        <v>1.03</v>
      </c>
      <c r="D31" s="54">
        <f>C31/750*1000</f>
        <v>1.3733333333333333</v>
      </c>
      <c r="E31" s="111" t="s">
        <v>310</v>
      </c>
      <c r="F31" s="5">
        <v>1.2</v>
      </c>
      <c r="G31" s="54">
        <f>F31/750*1000</f>
        <v>1.5999999999999999</v>
      </c>
      <c r="H31" s="111" t="s">
        <v>352</v>
      </c>
      <c r="I31" s="5">
        <v>0.95</v>
      </c>
      <c r="J31" s="54">
        <f>I31/750*1000</f>
        <v>1.2666666666666666</v>
      </c>
      <c r="K31" s="111" t="s">
        <v>376</v>
      </c>
      <c r="L31" s="5">
        <v>0.89</v>
      </c>
      <c r="M31" s="54">
        <f>L31/750*1000</f>
        <v>1.1866666666666665</v>
      </c>
      <c r="N31" s="29"/>
      <c r="P31" s="116"/>
      <c r="Q31" s="116"/>
      <c r="R31" s="137"/>
      <c r="S31" s="138">
        <f t="shared" si="0"/>
        <v>0</v>
      </c>
      <c r="T31" s="138">
        <f t="shared" si="4"/>
        <v>0</v>
      </c>
      <c r="U31" s="139">
        <f t="shared" si="2"/>
        <v>0</v>
      </c>
      <c r="V31" s="140">
        <f t="shared" si="3"/>
        <v>0</v>
      </c>
    </row>
    <row r="32" spans="1:22" s="28" customFormat="1" ht="31.5">
      <c r="A32" s="109" t="s">
        <v>255</v>
      </c>
      <c r="B32" s="111" t="s">
        <v>278</v>
      </c>
      <c r="C32" s="7">
        <v>3.68</v>
      </c>
      <c r="D32" s="117">
        <f>C32/5</f>
        <v>0.736</v>
      </c>
      <c r="E32" s="111" t="s">
        <v>311</v>
      </c>
      <c r="F32" s="5">
        <v>4.5</v>
      </c>
      <c r="G32" s="54">
        <f>F32/5</f>
        <v>0.9</v>
      </c>
      <c r="H32" s="111" t="s">
        <v>353</v>
      </c>
      <c r="I32" s="5">
        <v>3.15</v>
      </c>
      <c r="J32" s="54">
        <f>I32/5</f>
        <v>0.63</v>
      </c>
      <c r="K32" s="111" t="s">
        <v>381</v>
      </c>
      <c r="L32" s="6">
        <v>3.78</v>
      </c>
      <c r="M32" s="115">
        <f>L32/5</f>
        <v>0.756</v>
      </c>
      <c r="P32" s="111"/>
      <c r="Q32" s="116"/>
      <c r="R32" s="137"/>
      <c r="S32" s="138">
        <f t="shared" si="0"/>
        <v>0</v>
      </c>
      <c r="T32" s="138">
        <f t="shared" si="4"/>
        <v>0</v>
      </c>
      <c r="U32" s="139">
        <f t="shared" si="2"/>
        <v>0</v>
      </c>
      <c r="V32" s="140">
        <f t="shared" si="3"/>
        <v>0</v>
      </c>
    </row>
    <row r="33" spans="1:22" s="28" customFormat="1" ht="38.25">
      <c r="A33" s="109" t="s">
        <v>199</v>
      </c>
      <c r="B33" s="111" t="s">
        <v>279</v>
      </c>
      <c r="C33" s="7">
        <v>6.95</v>
      </c>
      <c r="D33" s="117">
        <f>C33/5</f>
        <v>1.3900000000000001</v>
      </c>
      <c r="E33" s="111" t="s">
        <v>312</v>
      </c>
      <c r="F33" s="5">
        <v>7.5</v>
      </c>
      <c r="G33" s="54">
        <f>F33/5</f>
        <v>1.5</v>
      </c>
      <c r="H33" s="111" t="s">
        <v>354</v>
      </c>
      <c r="I33" s="5">
        <v>3</v>
      </c>
      <c r="J33" s="54">
        <f>I33/4</f>
        <v>0.75</v>
      </c>
      <c r="K33" s="111" t="s">
        <v>375</v>
      </c>
      <c r="L33" s="61">
        <v>8.48</v>
      </c>
      <c r="M33" s="115">
        <f>L33/5</f>
        <v>1.6960000000000002</v>
      </c>
      <c r="P33" s="140"/>
      <c r="Q33" s="116"/>
      <c r="R33" s="137"/>
      <c r="S33" s="138">
        <f t="shared" si="0"/>
        <v>0</v>
      </c>
      <c r="T33" s="138">
        <f t="shared" si="4"/>
        <v>0</v>
      </c>
      <c r="U33" s="139">
        <f t="shared" si="2"/>
        <v>0</v>
      </c>
      <c r="V33" s="140">
        <f t="shared" si="3"/>
        <v>0</v>
      </c>
    </row>
    <row r="34" spans="1:22" s="28" customFormat="1" ht="38.25">
      <c r="A34" s="109" t="s">
        <v>200</v>
      </c>
      <c r="B34" s="111" t="s">
        <v>280</v>
      </c>
      <c r="C34" s="7">
        <v>1.73</v>
      </c>
      <c r="D34" s="118">
        <f>C34/750*1000</f>
        <v>2.3066666666666666</v>
      </c>
      <c r="E34" s="111" t="s">
        <v>313</v>
      </c>
      <c r="F34" s="5">
        <v>2.2</v>
      </c>
      <c r="G34" s="54">
        <f>F34/300*1000</f>
        <v>7.333333333333334</v>
      </c>
      <c r="H34" s="111" t="s">
        <v>355</v>
      </c>
      <c r="I34" s="5">
        <v>1.1</v>
      </c>
      <c r="J34" s="54">
        <f>I34/300*1000</f>
        <v>3.666666666666667</v>
      </c>
      <c r="K34" s="111" t="s">
        <v>382</v>
      </c>
      <c r="L34" s="5">
        <v>4.92</v>
      </c>
      <c r="M34" s="115">
        <f>L34/750*1000</f>
        <v>6.56</v>
      </c>
      <c r="P34" s="140"/>
      <c r="Q34" s="116"/>
      <c r="R34" s="137"/>
      <c r="S34" s="138">
        <f t="shared" si="0"/>
        <v>0</v>
      </c>
      <c r="T34" s="138">
        <f t="shared" si="4"/>
        <v>0</v>
      </c>
      <c r="U34" s="139">
        <f t="shared" si="2"/>
        <v>0</v>
      </c>
      <c r="V34" s="140">
        <f t="shared" si="3"/>
        <v>0</v>
      </c>
    </row>
    <row r="35" spans="1:22" s="28" customFormat="1" ht="15.75">
      <c r="A35" s="227" t="s">
        <v>201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P35" s="116"/>
      <c r="Q35" s="116"/>
      <c r="R35" s="137"/>
      <c r="S35" s="138">
        <f t="shared" si="0"/>
        <v>0</v>
      </c>
      <c r="T35" s="138">
        <f t="shared" si="4"/>
        <v>0</v>
      </c>
      <c r="U35" s="139">
        <f t="shared" si="2"/>
        <v>0</v>
      </c>
      <c r="V35" s="140">
        <f t="shared" si="3"/>
        <v>0</v>
      </c>
    </row>
    <row r="36" spans="1:22" s="28" customFormat="1" ht="25.5">
      <c r="A36" s="109" t="s">
        <v>202</v>
      </c>
      <c r="B36" s="111" t="s">
        <v>281</v>
      </c>
      <c r="C36" s="7">
        <v>2.99</v>
      </c>
      <c r="D36" s="117">
        <f>C36/5</f>
        <v>0.5980000000000001</v>
      </c>
      <c r="E36" s="111" t="s">
        <v>314</v>
      </c>
      <c r="F36" s="5">
        <f>G36*4</f>
        <v>1.84</v>
      </c>
      <c r="G36" s="54">
        <v>0.46</v>
      </c>
      <c r="H36" s="111" t="s">
        <v>356</v>
      </c>
      <c r="I36" s="5">
        <v>2.6</v>
      </c>
      <c r="J36" s="54">
        <f>I36/5</f>
        <v>0.52</v>
      </c>
      <c r="K36" s="111" t="s">
        <v>375</v>
      </c>
      <c r="L36" s="61">
        <v>3.1</v>
      </c>
      <c r="M36" s="115">
        <f>L36/5</f>
        <v>0.62</v>
      </c>
      <c r="P36" s="140"/>
      <c r="Q36" s="116">
        <v>20</v>
      </c>
      <c r="R36" s="137"/>
      <c r="S36" s="138">
        <f t="shared" si="0"/>
        <v>11.96</v>
      </c>
      <c r="T36" s="138">
        <f t="shared" si="4"/>
        <v>9.200000000000001</v>
      </c>
      <c r="U36" s="139">
        <f t="shared" si="2"/>
        <v>10.4</v>
      </c>
      <c r="V36" s="140">
        <f t="shared" si="3"/>
        <v>12.4</v>
      </c>
    </row>
    <row r="37" spans="1:22" s="28" customFormat="1" ht="31.5">
      <c r="A37" s="109" t="s">
        <v>256</v>
      </c>
      <c r="B37" s="111" t="s">
        <v>282</v>
      </c>
      <c r="C37" s="7">
        <v>18.1</v>
      </c>
      <c r="D37" s="117">
        <f>C37/12</f>
        <v>1.5083333333333335</v>
      </c>
      <c r="E37" s="116" t="s">
        <v>315</v>
      </c>
      <c r="F37" s="5">
        <v>12</v>
      </c>
      <c r="G37" s="54">
        <f>F37/12</f>
        <v>1</v>
      </c>
      <c r="H37" s="111" t="s">
        <v>357</v>
      </c>
      <c r="I37" s="5">
        <v>12.5</v>
      </c>
      <c r="J37" s="54">
        <f>I37/12</f>
        <v>1.0416666666666667</v>
      </c>
      <c r="K37" s="111" t="s">
        <v>381</v>
      </c>
      <c r="L37" s="6">
        <v>6.3</v>
      </c>
      <c r="M37" s="115">
        <f>L37/5</f>
        <v>1.26</v>
      </c>
      <c r="P37" s="140"/>
      <c r="Q37" s="116"/>
      <c r="R37" s="137"/>
      <c r="S37" s="138">
        <f t="shared" si="0"/>
        <v>0</v>
      </c>
      <c r="T37" s="138">
        <f t="shared" si="4"/>
        <v>0</v>
      </c>
      <c r="U37" s="139">
        <f t="shared" si="2"/>
        <v>0</v>
      </c>
      <c r="V37" s="140">
        <f t="shared" si="3"/>
        <v>0</v>
      </c>
    </row>
    <row r="38" spans="1:22" s="28" customFormat="1" ht="31.5">
      <c r="A38" s="109" t="s">
        <v>257</v>
      </c>
      <c r="B38" s="111" t="s">
        <v>283</v>
      </c>
      <c r="C38" s="7">
        <v>14.1</v>
      </c>
      <c r="D38" s="117">
        <f>C38/10</f>
        <v>1.41</v>
      </c>
      <c r="E38" s="116" t="s">
        <v>316</v>
      </c>
      <c r="F38" s="5">
        <v>13</v>
      </c>
      <c r="G38" s="54">
        <f>F38/10</f>
        <v>1.3</v>
      </c>
      <c r="H38" s="111" t="s">
        <v>358</v>
      </c>
      <c r="I38" s="5">
        <v>13.8</v>
      </c>
      <c r="J38" s="54">
        <f>I38/12</f>
        <v>1.1500000000000001</v>
      </c>
      <c r="K38" s="111" t="s">
        <v>381</v>
      </c>
      <c r="L38" s="6">
        <v>5.25</v>
      </c>
      <c r="M38" s="115">
        <f>L38/5</f>
        <v>1.05</v>
      </c>
      <c r="P38" s="116"/>
      <c r="Q38" s="116"/>
      <c r="R38" s="137"/>
      <c r="S38" s="138">
        <f t="shared" si="0"/>
        <v>0</v>
      </c>
      <c r="T38" s="138">
        <f t="shared" si="4"/>
        <v>0</v>
      </c>
      <c r="U38" s="139">
        <f t="shared" si="2"/>
        <v>0</v>
      </c>
      <c r="V38" s="140">
        <f t="shared" si="3"/>
        <v>0</v>
      </c>
    </row>
    <row r="39" spans="1:22" s="28" customFormat="1" ht="30.75" customHeight="1">
      <c r="A39" s="109" t="s">
        <v>203</v>
      </c>
      <c r="B39" s="111" t="s">
        <v>284</v>
      </c>
      <c r="C39" s="7">
        <v>2.15</v>
      </c>
      <c r="D39" s="117">
        <f>C39/750*1000</f>
        <v>2.8666666666666667</v>
      </c>
      <c r="E39" s="111" t="s">
        <v>317</v>
      </c>
      <c r="F39" s="5">
        <v>1.5</v>
      </c>
      <c r="G39" s="54">
        <f>F39/500*1000</f>
        <v>3</v>
      </c>
      <c r="H39" s="129" t="s">
        <v>359</v>
      </c>
      <c r="I39" s="5">
        <v>1.89</v>
      </c>
      <c r="J39" s="54">
        <f>I39/1</f>
        <v>1.89</v>
      </c>
      <c r="K39" s="111" t="s">
        <v>383</v>
      </c>
      <c r="L39" s="5">
        <v>0.89</v>
      </c>
      <c r="M39" s="115">
        <f>L39/750*1000</f>
        <v>1.1866666666666665</v>
      </c>
      <c r="P39" s="140"/>
      <c r="Q39" s="116"/>
      <c r="R39" s="137"/>
      <c r="S39" s="138">
        <f aca="true" t="shared" si="5" ref="S39:S70">Q39*D39</f>
        <v>0</v>
      </c>
      <c r="T39" s="138">
        <f t="shared" si="4"/>
        <v>0</v>
      </c>
      <c r="U39" s="139">
        <f aca="true" t="shared" si="6" ref="U39:U70">Q39*J39</f>
        <v>0</v>
      </c>
      <c r="V39" s="140">
        <f aca="true" t="shared" si="7" ref="V39:V70">Q39*M39</f>
        <v>0</v>
      </c>
    </row>
    <row r="40" spans="1:22" s="28" customFormat="1" ht="38.25">
      <c r="A40" s="109" t="s">
        <v>204</v>
      </c>
      <c r="B40" s="111" t="s">
        <v>285</v>
      </c>
      <c r="C40" s="7">
        <v>4.25</v>
      </c>
      <c r="D40" s="117">
        <f>C40/4</f>
        <v>1.0625</v>
      </c>
      <c r="E40" s="111" t="s">
        <v>318</v>
      </c>
      <c r="F40" s="5">
        <v>5</v>
      </c>
      <c r="G40" s="54">
        <f>F40/5</f>
        <v>1</v>
      </c>
      <c r="H40" s="111" t="s">
        <v>360</v>
      </c>
      <c r="I40" s="5">
        <v>2.39</v>
      </c>
      <c r="J40" s="54">
        <f>I40/4</f>
        <v>0.5975</v>
      </c>
      <c r="K40" s="111" t="s">
        <v>384</v>
      </c>
      <c r="L40" s="5">
        <v>3.39</v>
      </c>
      <c r="M40" s="54">
        <f>L40/3</f>
        <v>1.1300000000000001</v>
      </c>
      <c r="P40" s="140"/>
      <c r="Q40" s="116">
        <v>16</v>
      </c>
      <c r="R40" s="137"/>
      <c r="S40" s="138">
        <f t="shared" si="5"/>
        <v>17</v>
      </c>
      <c r="T40" s="138">
        <f t="shared" si="4"/>
        <v>16</v>
      </c>
      <c r="U40" s="139">
        <f t="shared" si="6"/>
        <v>9.56</v>
      </c>
      <c r="V40" s="140">
        <f t="shared" si="7"/>
        <v>18.080000000000002</v>
      </c>
    </row>
    <row r="41" spans="1:22" s="28" customFormat="1" ht="25.5">
      <c r="A41" s="109" t="s">
        <v>258</v>
      </c>
      <c r="B41" s="111" t="s">
        <v>286</v>
      </c>
      <c r="C41" s="7">
        <f>D41*20</f>
        <v>25</v>
      </c>
      <c r="D41" s="117">
        <v>1.25</v>
      </c>
      <c r="E41" s="111" t="s">
        <v>319</v>
      </c>
      <c r="F41" s="5">
        <f>G41*5.538</f>
        <v>8.030100000000001</v>
      </c>
      <c r="G41" s="54">
        <v>1.45</v>
      </c>
      <c r="H41" s="129" t="s">
        <v>361</v>
      </c>
      <c r="I41" s="5">
        <v>0.79</v>
      </c>
      <c r="J41" s="54">
        <f>I41/1</f>
        <v>0.79</v>
      </c>
      <c r="K41" s="113" t="s">
        <v>385</v>
      </c>
      <c r="L41" s="5">
        <v>10.65</v>
      </c>
      <c r="M41" s="54">
        <f>L41/8</f>
        <v>1.33125</v>
      </c>
      <c r="P41" s="140"/>
      <c r="Q41" s="116"/>
      <c r="R41" s="137"/>
      <c r="S41" s="138">
        <f t="shared" si="5"/>
        <v>0</v>
      </c>
      <c r="T41" s="138">
        <f t="shared" si="4"/>
        <v>0</v>
      </c>
      <c r="U41" s="139">
        <f t="shared" si="6"/>
        <v>0</v>
      </c>
      <c r="V41" s="140">
        <f t="shared" si="7"/>
        <v>0</v>
      </c>
    </row>
    <row r="42" spans="1:22" s="28" customFormat="1" ht="38.25">
      <c r="A42" s="109" t="s">
        <v>205</v>
      </c>
      <c r="B42" s="111" t="s">
        <v>287</v>
      </c>
      <c r="C42" s="7">
        <f>D42*5.1</f>
        <v>6.119999999999999</v>
      </c>
      <c r="D42" s="117">
        <v>1.2</v>
      </c>
      <c r="E42" s="111" t="s">
        <v>320</v>
      </c>
      <c r="F42" s="5">
        <v>1</v>
      </c>
      <c r="G42" s="54">
        <f>F42/600*1000</f>
        <v>1.6666666666666667</v>
      </c>
      <c r="H42" s="111" t="s">
        <v>362</v>
      </c>
      <c r="I42" s="5">
        <v>1.99</v>
      </c>
      <c r="J42" s="54">
        <f>I42/1</f>
        <v>1.99</v>
      </c>
      <c r="K42" s="111" t="s">
        <v>386</v>
      </c>
      <c r="L42" s="5">
        <v>0.56</v>
      </c>
      <c r="M42" s="54">
        <f>L42/260*1000</f>
        <v>2.153846153846154</v>
      </c>
      <c r="P42" s="140"/>
      <c r="Q42" s="116"/>
      <c r="R42" s="137"/>
      <c r="S42" s="138">
        <f t="shared" si="5"/>
        <v>0</v>
      </c>
      <c r="T42" s="138">
        <f t="shared" si="4"/>
        <v>0</v>
      </c>
      <c r="U42" s="139">
        <f t="shared" si="6"/>
        <v>0</v>
      </c>
      <c r="V42" s="140">
        <f t="shared" si="7"/>
        <v>0</v>
      </c>
    </row>
    <row r="43" spans="1:22" s="28" customFormat="1" ht="15.75">
      <c r="A43" s="227" t="s">
        <v>206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P43" s="140"/>
      <c r="Q43" s="116"/>
      <c r="R43" s="137"/>
      <c r="S43" s="138">
        <f t="shared" si="5"/>
        <v>0</v>
      </c>
      <c r="T43" s="138">
        <f t="shared" si="4"/>
        <v>0</v>
      </c>
      <c r="U43" s="139">
        <f t="shared" si="6"/>
        <v>0</v>
      </c>
      <c r="V43" s="140">
        <f t="shared" si="7"/>
        <v>0</v>
      </c>
    </row>
    <row r="44" spans="1:22" s="28" customFormat="1" ht="15.75">
      <c r="A44" s="109" t="s">
        <v>61</v>
      </c>
      <c r="B44" s="111" t="s">
        <v>33</v>
      </c>
      <c r="C44" s="7">
        <v>0.49</v>
      </c>
      <c r="D44" s="117">
        <f>C44/1</f>
        <v>0.49</v>
      </c>
      <c r="E44" s="124" t="s">
        <v>322</v>
      </c>
      <c r="F44" s="125">
        <v>0.55</v>
      </c>
      <c r="G44" s="126">
        <f>F44/1</f>
        <v>0.55</v>
      </c>
      <c r="H44" s="124" t="s">
        <v>33</v>
      </c>
      <c r="I44" s="125">
        <v>0.55</v>
      </c>
      <c r="J44" s="126">
        <f>I44/1</f>
        <v>0.55</v>
      </c>
      <c r="K44" s="124" t="s">
        <v>387</v>
      </c>
      <c r="L44" s="125">
        <v>0.42</v>
      </c>
      <c r="M44" s="126">
        <f>L44/1</f>
        <v>0.42</v>
      </c>
      <c r="P44" s="140"/>
      <c r="Q44" s="116"/>
      <c r="R44" s="137"/>
      <c r="S44" s="138">
        <f t="shared" si="5"/>
        <v>0</v>
      </c>
      <c r="T44" s="138">
        <f t="shared" si="4"/>
        <v>0</v>
      </c>
      <c r="U44" s="139">
        <f t="shared" si="6"/>
        <v>0</v>
      </c>
      <c r="V44" s="140">
        <f t="shared" si="7"/>
        <v>0</v>
      </c>
    </row>
    <row r="45" spans="1:22" s="28" customFormat="1" ht="15.75">
      <c r="A45" s="109" t="s">
        <v>207</v>
      </c>
      <c r="B45" s="111" t="s">
        <v>288</v>
      </c>
      <c r="C45" s="7">
        <v>2.98</v>
      </c>
      <c r="D45" s="117">
        <f>C45/100</f>
        <v>0.0298</v>
      </c>
      <c r="E45" s="116" t="s">
        <v>323</v>
      </c>
      <c r="F45" s="5">
        <v>4</v>
      </c>
      <c r="G45" s="54">
        <f>F45/100</f>
        <v>0.04</v>
      </c>
      <c r="H45" s="116" t="s">
        <v>288</v>
      </c>
      <c r="I45" s="5">
        <v>4.4</v>
      </c>
      <c r="J45" s="54">
        <f>I45/100</f>
        <v>0.044000000000000004</v>
      </c>
      <c r="K45" s="116" t="s">
        <v>388</v>
      </c>
      <c r="L45" s="5">
        <v>3.77</v>
      </c>
      <c r="M45" s="115">
        <f>L45/100</f>
        <v>0.0377</v>
      </c>
      <c r="P45" s="133"/>
      <c r="Q45" s="116">
        <v>1500</v>
      </c>
      <c r="R45" s="137"/>
      <c r="S45" s="138">
        <f t="shared" si="5"/>
        <v>44.7</v>
      </c>
      <c r="T45" s="138">
        <f t="shared" si="4"/>
        <v>60</v>
      </c>
      <c r="U45" s="141">
        <f t="shared" si="6"/>
        <v>66</v>
      </c>
      <c r="V45" s="140">
        <f t="shared" si="7"/>
        <v>56.55</v>
      </c>
    </row>
    <row r="46" spans="1:22" s="28" customFormat="1" ht="15.75">
      <c r="A46" s="109" t="s">
        <v>208</v>
      </c>
      <c r="B46" s="111" t="s">
        <v>93</v>
      </c>
      <c r="C46" s="7">
        <v>0.35</v>
      </c>
      <c r="D46" s="117">
        <f>C46/3</f>
        <v>0.11666666666666665</v>
      </c>
      <c r="E46" s="116" t="s">
        <v>93</v>
      </c>
      <c r="F46" s="54">
        <f>G46*3</f>
        <v>0.5549999999999999</v>
      </c>
      <c r="G46" s="54">
        <v>0.185</v>
      </c>
      <c r="H46" s="116" t="s">
        <v>93</v>
      </c>
      <c r="I46" s="54">
        <v>0.49</v>
      </c>
      <c r="J46" s="54">
        <f>I46/3</f>
        <v>0.16333333333333333</v>
      </c>
      <c r="K46" s="116" t="s">
        <v>93</v>
      </c>
      <c r="L46" s="54">
        <v>0.6</v>
      </c>
      <c r="M46" s="54">
        <f>L46/3</f>
        <v>0.19999999999999998</v>
      </c>
      <c r="P46" s="140"/>
      <c r="Q46" s="116"/>
      <c r="R46" s="137"/>
      <c r="S46" s="138">
        <f t="shared" si="5"/>
        <v>0</v>
      </c>
      <c r="T46" s="138">
        <f t="shared" si="4"/>
        <v>0</v>
      </c>
      <c r="U46" s="139">
        <f t="shared" si="6"/>
        <v>0</v>
      </c>
      <c r="V46" s="140">
        <f t="shared" si="7"/>
        <v>0</v>
      </c>
    </row>
    <row r="47" spans="1:22" s="28" customFormat="1" ht="15.75">
      <c r="A47" s="109" t="s">
        <v>209</v>
      </c>
      <c r="B47" s="111" t="s">
        <v>93</v>
      </c>
      <c r="C47" s="7">
        <v>0.8</v>
      </c>
      <c r="D47" s="117">
        <f>C47/3</f>
        <v>0.26666666666666666</v>
      </c>
      <c r="E47" s="104" t="s">
        <v>93</v>
      </c>
      <c r="F47" s="54">
        <f>G47*3</f>
        <v>0.5700000000000001</v>
      </c>
      <c r="G47" s="54">
        <v>0.19</v>
      </c>
      <c r="H47" s="104" t="s">
        <v>35</v>
      </c>
      <c r="I47" s="54">
        <v>1.3</v>
      </c>
      <c r="J47" s="54">
        <f>I47/5</f>
        <v>0.26</v>
      </c>
      <c r="K47" s="104" t="s">
        <v>36</v>
      </c>
      <c r="L47" s="54">
        <v>2.9</v>
      </c>
      <c r="M47" s="54">
        <f>L47/10</f>
        <v>0.29</v>
      </c>
      <c r="P47" s="140"/>
      <c r="Q47" s="116"/>
      <c r="R47" s="137"/>
      <c r="S47" s="138">
        <f t="shared" si="5"/>
        <v>0</v>
      </c>
      <c r="T47" s="138">
        <f t="shared" si="4"/>
        <v>0</v>
      </c>
      <c r="U47" s="139">
        <f t="shared" si="6"/>
        <v>0</v>
      </c>
      <c r="V47" s="140">
        <f t="shared" si="7"/>
        <v>0</v>
      </c>
    </row>
    <row r="48" spans="1:22" s="28" customFormat="1" ht="31.5">
      <c r="A48" s="109" t="s">
        <v>210</v>
      </c>
      <c r="B48" s="111" t="s">
        <v>36</v>
      </c>
      <c r="C48" s="7">
        <v>4.5</v>
      </c>
      <c r="D48" s="117">
        <f>C48/10</f>
        <v>0.45</v>
      </c>
      <c r="E48" s="116" t="s">
        <v>324</v>
      </c>
      <c r="F48" s="54">
        <f>G48*4</f>
        <v>3.2</v>
      </c>
      <c r="G48" s="54">
        <v>0.8</v>
      </c>
      <c r="H48" s="116" t="s">
        <v>363</v>
      </c>
      <c r="I48" s="54">
        <v>0.99</v>
      </c>
      <c r="J48" s="54">
        <f>I48/2</f>
        <v>0.495</v>
      </c>
      <c r="K48" s="104" t="s">
        <v>36</v>
      </c>
      <c r="L48" s="54">
        <v>5.7</v>
      </c>
      <c r="M48" s="54">
        <f>L48/10</f>
        <v>0.5700000000000001</v>
      </c>
      <c r="P48" s="111"/>
      <c r="Q48" s="116"/>
      <c r="R48" s="137"/>
      <c r="S48" s="138">
        <f t="shared" si="5"/>
        <v>0</v>
      </c>
      <c r="T48" s="138">
        <f t="shared" si="4"/>
        <v>0</v>
      </c>
      <c r="U48" s="139">
        <f t="shared" si="6"/>
        <v>0</v>
      </c>
      <c r="V48" s="140">
        <f t="shared" si="7"/>
        <v>0</v>
      </c>
    </row>
    <row r="49" spans="1:22" s="28" customFormat="1" ht="15.75">
      <c r="A49" s="109" t="s">
        <v>211</v>
      </c>
      <c r="B49" s="111" t="s">
        <v>38</v>
      </c>
      <c r="C49" s="7">
        <v>0.4</v>
      </c>
      <c r="D49" s="117">
        <f>C49/1</f>
        <v>0.4</v>
      </c>
      <c r="E49" s="111" t="s">
        <v>152</v>
      </c>
      <c r="F49" s="54">
        <f>G49*2</f>
        <v>0.574</v>
      </c>
      <c r="G49" s="54">
        <v>0.287</v>
      </c>
      <c r="H49" s="111" t="s">
        <v>38</v>
      </c>
      <c r="I49" s="54">
        <v>0.55</v>
      </c>
      <c r="J49" s="54">
        <f>I49/1</f>
        <v>0.55</v>
      </c>
      <c r="K49" s="104" t="s">
        <v>37</v>
      </c>
      <c r="L49" s="54">
        <v>8.75</v>
      </c>
      <c r="M49" s="54">
        <f>L49/25</f>
        <v>0.35</v>
      </c>
      <c r="P49" s="140"/>
      <c r="Q49" s="116"/>
      <c r="R49" s="137"/>
      <c r="S49" s="138">
        <f t="shared" si="5"/>
        <v>0</v>
      </c>
      <c r="T49" s="138">
        <f t="shared" si="4"/>
        <v>0</v>
      </c>
      <c r="U49" s="139">
        <f t="shared" si="6"/>
        <v>0</v>
      </c>
      <c r="V49" s="140">
        <f t="shared" si="7"/>
        <v>0</v>
      </c>
    </row>
    <row r="50" spans="1:22" ht="15.75">
      <c r="A50" s="109" t="s">
        <v>212</v>
      </c>
      <c r="B50" s="111" t="s">
        <v>288</v>
      </c>
      <c r="C50" s="30">
        <v>2.95</v>
      </c>
      <c r="D50" s="119">
        <f>C50/100</f>
        <v>0.029500000000000002</v>
      </c>
      <c r="E50" s="116" t="s">
        <v>325</v>
      </c>
      <c r="F50" s="5">
        <v>2.8</v>
      </c>
      <c r="G50" s="54">
        <f>F50/100</f>
        <v>0.027999999999999997</v>
      </c>
      <c r="H50" s="116" t="s">
        <v>288</v>
      </c>
      <c r="I50" s="5">
        <v>3.7</v>
      </c>
      <c r="J50" s="54">
        <f>I50/100</f>
        <v>0.037000000000000005</v>
      </c>
      <c r="K50" s="104" t="s">
        <v>36</v>
      </c>
      <c r="L50" s="54">
        <v>11.3</v>
      </c>
      <c r="M50" s="54">
        <f>L50/10</f>
        <v>1.1300000000000001</v>
      </c>
      <c r="P50" s="140"/>
      <c r="Q50" s="140"/>
      <c r="R50" s="137"/>
      <c r="S50" s="138">
        <f t="shared" si="5"/>
        <v>0</v>
      </c>
      <c r="T50" s="138">
        <f t="shared" si="4"/>
        <v>0</v>
      </c>
      <c r="U50" s="139">
        <f t="shared" si="6"/>
        <v>0</v>
      </c>
      <c r="V50" s="140">
        <f t="shared" si="7"/>
        <v>0</v>
      </c>
    </row>
    <row r="51" spans="1:22" ht="25.5">
      <c r="A51" s="109" t="s">
        <v>12</v>
      </c>
      <c r="B51" s="111" t="s">
        <v>38</v>
      </c>
      <c r="C51" s="5">
        <v>0.98</v>
      </c>
      <c r="D51" s="117">
        <f>C51/1</f>
        <v>0.98</v>
      </c>
      <c r="E51" s="116" t="s">
        <v>38</v>
      </c>
      <c r="F51" s="5">
        <v>1.6</v>
      </c>
      <c r="G51" s="54">
        <f>F51/1</f>
        <v>1.6</v>
      </c>
      <c r="H51" s="116" t="s">
        <v>38</v>
      </c>
      <c r="I51" s="5">
        <v>0.9</v>
      </c>
      <c r="J51" s="54">
        <f aca="true" t="shared" si="8" ref="J51:J85">I51/1</f>
        <v>0.9</v>
      </c>
      <c r="K51" s="104" t="s">
        <v>389</v>
      </c>
      <c r="L51" s="54">
        <v>10.77</v>
      </c>
      <c r="M51" s="54">
        <f>L51/100</f>
        <v>0.10769999999999999</v>
      </c>
      <c r="P51" s="140"/>
      <c r="Q51" s="140"/>
      <c r="R51" s="137"/>
      <c r="S51" s="138">
        <f t="shared" si="5"/>
        <v>0</v>
      </c>
      <c r="T51" s="138">
        <f t="shared" si="4"/>
        <v>0</v>
      </c>
      <c r="U51" s="139">
        <f t="shared" si="6"/>
        <v>0</v>
      </c>
      <c r="V51" s="140">
        <f t="shared" si="7"/>
        <v>0</v>
      </c>
    </row>
    <row r="52" spans="1:22" ht="15.75">
      <c r="A52" s="109" t="s">
        <v>213</v>
      </c>
      <c r="B52" s="111" t="s">
        <v>36</v>
      </c>
      <c r="C52" s="30">
        <v>7.55</v>
      </c>
      <c r="D52" s="117">
        <f>C52/10</f>
        <v>0.755</v>
      </c>
      <c r="E52" s="111" t="s">
        <v>93</v>
      </c>
      <c r="F52" s="5">
        <v>2.4</v>
      </c>
      <c r="G52" s="54">
        <f>F52/3</f>
        <v>0.7999999999999999</v>
      </c>
      <c r="H52" s="111" t="s">
        <v>38</v>
      </c>
      <c r="I52" s="5">
        <v>0.65</v>
      </c>
      <c r="J52" s="54">
        <f t="shared" si="8"/>
        <v>0.65</v>
      </c>
      <c r="K52" s="104" t="s">
        <v>36</v>
      </c>
      <c r="L52" s="54">
        <v>6.8</v>
      </c>
      <c r="M52" s="54">
        <f>L52/10</f>
        <v>0.6799999999999999</v>
      </c>
      <c r="P52" s="140"/>
      <c r="Q52" s="140"/>
      <c r="R52" s="137"/>
      <c r="S52" s="138">
        <f t="shared" si="5"/>
        <v>0</v>
      </c>
      <c r="T52" s="138">
        <f t="shared" si="4"/>
        <v>0</v>
      </c>
      <c r="U52" s="139">
        <f t="shared" si="6"/>
        <v>0</v>
      </c>
      <c r="V52" s="140">
        <f t="shared" si="7"/>
        <v>0</v>
      </c>
    </row>
    <row r="53" spans="1:22" ht="15.75">
      <c r="A53" s="109" t="s">
        <v>214</v>
      </c>
      <c r="B53" s="111" t="s">
        <v>38</v>
      </c>
      <c r="C53" s="30">
        <v>0.39</v>
      </c>
      <c r="D53" s="117">
        <f aca="true" t="shared" si="9" ref="D53:D85">C53/1</f>
        <v>0.39</v>
      </c>
      <c r="E53" s="111" t="s">
        <v>37</v>
      </c>
      <c r="F53" s="30">
        <f>G53*25</f>
        <v>21.25</v>
      </c>
      <c r="G53" s="54">
        <v>0.85</v>
      </c>
      <c r="H53" s="111" t="s">
        <v>38</v>
      </c>
      <c r="I53" s="30">
        <v>0.69</v>
      </c>
      <c r="J53" s="54">
        <f t="shared" si="8"/>
        <v>0.69</v>
      </c>
      <c r="K53" s="104" t="s">
        <v>37</v>
      </c>
      <c r="L53" s="54">
        <v>12.25</v>
      </c>
      <c r="M53" s="54">
        <f>L53/25</f>
        <v>0.49</v>
      </c>
      <c r="P53" s="140"/>
      <c r="Q53" s="140"/>
      <c r="R53" s="137"/>
      <c r="S53" s="138">
        <f t="shared" si="5"/>
        <v>0</v>
      </c>
      <c r="T53" s="138">
        <f t="shared" si="4"/>
        <v>0</v>
      </c>
      <c r="U53" s="139">
        <f t="shared" si="6"/>
        <v>0</v>
      </c>
      <c r="V53" s="140">
        <f t="shared" si="7"/>
        <v>0</v>
      </c>
    </row>
    <row r="54" spans="1:22" ht="15.75">
      <c r="A54" s="109" t="s">
        <v>215</v>
      </c>
      <c r="B54" s="111" t="s">
        <v>38</v>
      </c>
      <c r="C54" s="30">
        <v>0.47</v>
      </c>
      <c r="D54" s="117">
        <f t="shared" si="9"/>
        <v>0.47</v>
      </c>
      <c r="E54" s="111" t="s">
        <v>37</v>
      </c>
      <c r="F54" s="5">
        <f>G54*25</f>
        <v>24.5</v>
      </c>
      <c r="G54" s="54">
        <v>0.98</v>
      </c>
      <c r="H54" s="111" t="s">
        <v>38</v>
      </c>
      <c r="I54" s="5">
        <v>0.9</v>
      </c>
      <c r="J54" s="54">
        <f t="shared" si="8"/>
        <v>0.9</v>
      </c>
      <c r="K54" s="104" t="s">
        <v>37</v>
      </c>
      <c r="L54" s="54">
        <v>26.75</v>
      </c>
      <c r="M54" s="54">
        <f>L54/25</f>
        <v>1.07</v>
      </c>
      <c r="P54" s="111"/>
      <c r="Q54" s="116"/>
      <c r="R54" s="137"/>
      <c r="S54" s="138">
        <f t="shared" si="5"/>
        <v>0</v>
      </c>
      <c r="T54" s="138">
        <f t="shared" si="4"/>
        <v>0</v>
      </c>
      <c r="U54" s="139">
        <f t="shared" si="6"/>
        <v>0</v>
      </c>
      <c r="V54" s="140">
        <f t="shared" si="7"/>
        <v>0</v>
      </c>
    </row>
    <row r="55" spans="1:22" ht="15.75">
      <c r="A55" s="109" t="s">
        <v>216</v>
      </c>
      <c r="B55" s="111" t="s">
        <v>38</v>
      </c>
      <c r="C55" s="30">
        <v>0.73</v>
      </c>
      <c r="D55" s="117">
        <f t="shared" si="9"/>
        <v>0.73</v>
      </c>
      <c r="E55" s="111" t="s">
        <v>298</v>
      </c>
      <c r="F55" s="30" t="s">
        <v>326</v>
      </c>
      <c r="G55" s="54" t="s">
        <v>326</v>
      </c>
      <c r="H55" s="111" t="s">
        <v>38</v>
      </c>
      <c r="I55" s="30">
        <v>1.25</v>
      </c>
      <c r="J55" s="54">
        <f t="shared" si="8"/>
        <v>1.25</v>
      </c>
      <c r="K55" s="104" t="s">
        <v>37</v>
      </c>
      <c r="L55" s="54">
        <v>22.75</v>
      </c>
      <c r="M55" s="54">
        <f>L55/25</f>
        <v>0.91</v>
      </c>
      <c r="P55" s="140"/>
      <c r="Q55" s="140"/>
      <c r="R55" s="137"/>
      <c r="S55" s="138">
        <f t="shared" si="5"/>
        <v>0</v>
      </c>
      <c r="T55" s="138"/>
      <c r="U55" s="139">
        <f t="shared" si="6"/>
        <v>0</v>
      </c>
      <c r="V55" s="140">
        <f t="shared" si="7"/>
        <v>0</v>
      </c>
    </row>
    <row r="56" spans="1:22" ht="15.75">
      <c r="A56" s="109" t="s">
        <v>63</v>
      </c>
      <c r="B56" s="111" t="s">
        <v>38</v>
      </c>
      <c r="C56" s="30">
        <v>0.99</v>
      </c>
      <c r="D56" s="117">
        <f t="shared" si="9"/>
        <v>0.99</v>
      </c>
      <c r="E56" s="111" t="s">
        <v>328</v>
      </c>
      <c r="F56" s="5">
        <v>12</v>
      </c>
      <c r="G56" s="54">
        <f>F56/12</f>
        <v>1</v>
      </c>
      <c r="H56" s="111" t="s">
        <v>38</v>
      </c>
      <c r="I56" s="5">
        <v>1.05</v>
      </c>
      <c r="J56" s="54">
        <f t="shared" si="8"/>
        <v>1.05</v>
      </c>
      <c r="K56" s="104" t="s">
        <v>327</v>
      </c>
      <c r="L56" s="54">
        <v>10.92</v>
      </c>
      <c r="M56" s="54">
        <f>L56/12</f>
        <v>0.91</v>
      </c>
      <c r="P56" s="116"/>
      <c r="Q56" s="116">
        <v>10</v>
      </c>
      <c r="R56" s="137"/>
      <c r="S56" s="138">
        <f t="shared" si="5"/>
        <v>9.9</v>
      </c>
      <c r="T56" s="138">
        <f aca="true" t="shared" si="10" ref="T56:T94">Q56*G56</f>
        <v>10</v>
      </c>
      <c r="U56" s="139">
        <f t="shared" si="6"/>
        <v>10.5</v>
      </c>
      <c r="V56" s="140">
        <f t="shared" si="7"/>
        <v>9.1</v>
      </c>
    </row>
    <row r="57" spans="1:22" ht="15.75">
      <c r="A57" s="109" t="s">
        <v>64</v>
      </c>
      <c r="B57" s="111" t="s">
        <v>38</v>
      </c>
      <c r="C57" s="30">
        <v>0.95</v>
      </c>
      <c r="D57" s="117">
        <f t="shared" si="9"/>
        <v>0.95</v>
      </c>
      <c r="E57" s="111" t="s">
        <v>328</v>
      </c>
      <c r="F57" s="5">
        <v>12</v>
      </c>
      <c r="G57" s="54">
        <f>F57/12</f>
        <v>1</v>
      </c>
      <c r="H57" s="111" t="s">
        <v>38</v>
      </c>
      <c r="I57" s="5">
        <v>1.15</v>
      </c>
      <c r="J57" s="54">
        <f t="shared" si="8"/>
        <v>1.15</v>
      </c>
      <c r="K57" s="104" t="s">
        <v>327</v>
      </c>
      <c r="L57" s="54">
        <v>10.08</v>
      </c>
      <c r="M57" s="54">
        <f>L57/12</f>
        <v>0.84</v>
      </c>
      <c r="P57" s="140"/>
      <c r="Q57" s="140"/>
      <c r="R57" s="137"/>
      <c r="S57" s="138">
        <f t="shared" si="5"/>
        <v>0</v>
      </c>
      <c r="T57" s="138">
        <f t="shared" si="10"/>
        <v>0</v>
      </c>
      <c r="U57" s="139">
        <f t="shared" si="6"/>
        <v>0</v>
      </c>
      <c r="V57" s="140">
        <f t="shared" si="7"/>
        <v>0</v>
      </c>
    </row>
    <row r="58" spans="1:22" ht="15.75">
      <c r="A58" s="109" t="s">
        <v>65</v>
      </c>
      <c r="B58" s="111" t="s">
        <v>38</v>
      </c>
      <c r="C58" s="30">
        <v>1.16</v>
      </c>
      <c r="D58" s="117">
        <f t="shared" si="9"/>
        <v>1.16</v>
      </c>
      <c r="E58" s="111" t="s">
        <v>328</v>
      </c>
      <c r="F58" s="5">
        <v>12</v>
      </c>
      <c r="G58" s="54">
        <f>F58/12</f>
        <v>1</v>
      </c>
      <c r="H58" s="111" t="s">
        <v>38</v>
      </c>
      <c r="I58" s="5">
        <v>1.59</v>
      </c>
      <c r="J58" s="54">
        <f t="shared" si="8"/>
        <v>1.59</v>
      </c>
      <c r="K58" s="104" t="s">
        <v>327</v>
      </c>
      <c r="L58" s="54">
        <v>12.96</v>
      </c>
      <c r="M58" s="54">
        <f>L58/12</f>
        <v>1.08</v>
      </c>
      <c r="P58" s="140"/>
      <c r="Q58" s="140"/>
      <c r="R58" s="137"/>
      <c r="S58" s="138">
        <f t="shared" si="5"/>
        <v>0</v>
      </c>
      <c r="T58" s="138">
        <f t="shared" si="10"/>
        <v>0</v>
      </c>
      <c r="U58" s="139">
        <f t="shared" si="6"/>
        <v>0</v>
      </c>
      <c r="V58" s="140">
        <f t="shared" si="7"/>
        <v>0</v>
      </c>
    </row>
    <row r="59" spans="1:22" ht="15.75">
      <c r="A59" s="109" t="s">
        <v>66</v>
      </c>
      <c r="B59" s="111" t="s">
        <v>38</v>
      </c>
      <c r="C59" s="30">
        <v>3.91</v>
      </c>
      <c r="D59" s="117">
        <f t="shared" si="9"/>
        <v>3.91</v>
      </c>
      <c r="E59" s="111" t="s">
        <v>36</v>
      </c>
      <c r="F59" s="5">
        <v>43</v>
      </c>
      <c r="G59" s="54">
        <f>F59/10</f>
        <v>4.3</v>
      </c>
      <c r="H59" s="111" t="s">
        <v>38</v>
      </c>
      <c r="I59" s="5">
        <v>3.9</v>
      </c>
      <c r="J59" s="54">
        <f t="shared" si="8"/>
        <v>3.9</v>
      </c>
      <c r="K59" s="111" t="s">
        <v>38</v>
      </c>
      <c r="L59" s="5">
        <v>3.76</v>
      </c>
      <c r="M59" s="54">
        <f aca="true" t="shared" si="11" ref="M59:M85">L59/1</f>
        <v>3.76</v>
      </c>
      <c r="P59" s="116"/>
      <c r="Q59" s="116"/>
      <c r="R59" s="137"/>
      <c r="S59" s="138">
        <f t="shared" si="5"/>
        <v>0</v>
      </c>
      <c r="T59" s="138">
        <f t="shared" si="10"/>
        <v>0</v>
      </c>
      <c r="U59" s="139">
        <f t="shared" si="6"/>
        <v>0</v>
      </c>
      <c r="V59" s="140">
        <f t="shared" si="7"/>
        <v>0</v>
      </c>
    </row>
    <row r="60" spans="1:22" ht="15.75">
      <c r="A60" s="109" t="s">
        <v>217</v>
      </c>
      <c r="B60" s="111" t="s">
        <v>38</v>
      </c>
      <c r="C60" s="30">
        <v>0.82</v>
      </c>
      <c r="D60" s="117">
        <f t="shared" si="9"/>
        <v>0.82</v>
      </c>
      <c r="E60" s="111" t="s">
        <v>329</v>
      </c>
      <c r="F60" s="5">
        <v>0.8</v>
      </c>
      <c r="G60" s="54">
        <f>F60/1</f>
        <v>0.8</v>
      </c>
      <c r="H60" s="111" t="s">
        <v>364</v>
      </c>
      <c r="I60" s="5">
        <v>0.89</v>
      </c>
      <c r="J60" s="54">
        <f t="shared" si="8"/>
        <v>0.89</v>
      </c>
      <c r="K60" s="111" t="s">
        <v>329</v>
      </c>
      <c r="L60" s="5">
        <v>0.71</v>
      </c>
      <c r="M60" s="54">
        <f t="shared" si="11"/>
        <v>0.71</v>
      </c>
      <c r="P60" s="140"/>
      <c r="Q60" s="140"/>
      <c r="R60" s="137"/>
      <c r="S60" s="138">
        <f t="shared" si="5"/>
        <v>0</v>
      </c>
      <c r="T60" s="138">
        <f t="shared" si="10"/>
        <v>0</v>
      </c>
      <c r="U60" s="139">
        <f t="shared" si="6"/>
        <v>0</v>
      </c>
      <c r="V60" s="140">
        <f t="shared" si="7"/>
        <v>0</v>
      </c>
    </row>
    <row r="61" spans="1:22" ht="15.75">
      <c r="A61" s="109" t="s">
        <v>218</v>
      </c>
      <c r="B61" s="111" t="s">
        <v>38</v>
      </c>
      <c r="C61" s="30">
        <v>4.51</v>
      </c>
      <c r="D61" s="117">
        <f t="shared" si="9"/>
        <v>4.51</v>
      </c>
      <c r="E61" s="111" t="s">
        <v>330</v>
      </c>
      <c r="F61" s="5">
        <v>3.2</v>
      </c>
      <c r="G61" s="54">
        <f>F61/1</f>
        <v>3.2</v>
      </c>
      <c r="H61" s="111" t="s">
        <v>38</v>
      </c>
      <c r="I61" s="5">
        <v>3.99</v>
      </c>
      <c r="J61" s="54">
        <f t="shared" si="8"/>
        <v>3.99</v>
      </c>
      <c r="K61" s="111" t="s">
        <v>38</v>
      </c>
      <c r="L61" s="5">
        <v>3.65</v>
      </c>
      <c r="M61" s="54">
        <f t="shared" si="11"/>
        <v>3.65</v>
      </c>
      <c r="P61" s="140"/>
      <c r="Q61" s="140"/>
      <c r="R61" s="137"/>
      <c r="S61" s="138">
        <f t="shared" si="5"/>
        <v>0</v>
      </c>
      <c r="T61" s="138">
        <f t="shared" si="10"/>
        <v>0</v>
      </c>
      <c r="U61" s="139">
        <f t="shared" si="6"/>
        <v>0</v>
      </c>
      <c r="V61" s="140">
        <f t="shared" si="7"/>
        <v>0</v>
      </c>
    </row>
    <row r="62" spans="1:22" ht="15.75">
      <c r="A62" s="109" t="s">
        <v>219</v>
      </c>
      <c r="B62" s="111" t="s">
        <v>38</v>
      </c>
      <c r="C62" s="30">
        <v>1.1</v>
      </c>
      <c r="D62" s="117">
        <f t="shared" si="9"/>
        <v>1.1</v>
      </c>
      <c r="E62" s="111" t="s">
        <v>327</v>
      </c>
      <c r="F62" s="5">
        <f>G62*12</f>
        <v>14.399999999999999</v>
      </c>
      <c r="G62" s="54">
        <v>1.2</v>
      </c>
      <c r="H62" s="111" t="s">
        <v>38</v>
      </c>
      <c r="I62" s="5">
        <v>1.25</v>
      </c>
      <c r="J62" s="54">
        <f t="shared" si="8"/>
        <v>1.25</v>
      </c>
      <c r="K62" s="111" t="s">
        <v>38</v>
      </c>
      <c r="L62" s="5">
        <v>1.2</v>
      </c>
      <c r="M62" s="54">
        <f t="shared" si="11"/>
        <v>1.2</v>
      </c>
      <c r="P62" s="140"/>
      <c r="Q62" s="140"/>
      <c r="R62" s="137"/>
      <c r="S62" s="138">
        <f t="shared" si="5"/>
        <v>0</v>
      </c>
      <c r="T62" s="138">
        <f t="shared" si="10"/>
        <v>0</v>
      </c>
      <c r="U62" s="139">
        <f t="shared" si="6"/>
        <v>0</v>
      </c>
      <c r="V62" s="140">
        <f t="shared" si="7"/>
        <v>0</v>
      </c>
    </row>
    <row r="63" spans="1:22" ht="15.75">
      <c r="A63" s="109" t="s">
        <v>220</v>
      </c>
      <c r="B63" s="111" t="s">
        <v>38</v>
      </c>
      <c r="C63" s="30">
        <v>11.34</v>
      </c>
      <c r="D63" s="117">
        <f t="shared" si="9"/>
        <v>11.34</v>
      </c>
      <c r="E63" s="111" t="s">
        <v>38</v>
      </c>
      <c r="F63" s="5">
        <v>7.8</v>
      </c>
      <c r="G63" s="54">
        <f>F63/1</f>
        <v>7.8</v>
      </c>
      <c r="H63" s="111" t="s">
        <v>38</v>
      </c>
      <c r="I63" s="5">
        <v>9.22</v>
      </c>
      <c r="J63" s="54">
        <f t="shared" si="8"/>
        <v>9.22</v>
      </c>
      <c r="K63" s="113" t="s">
        <v>38</v>
      </c>
      <c r="L63" s="8">
        <v>8.54</v>
      </c>
      <c r="M63" s="112">
        <f t="shared" si="11"/>
        <v>8.54</v>
      </c>
      <c r="N63" t="s">
        <v>393</v>
      </c>
      <c r="P63" s="140"/>
      <c r="Q63" s="140"/>
      <c r="R63" s="137"/>
      <c r="S63" s="138">
        <f t="shared" si="5"/>
        <v>0</v>
      </c>
      <c r="T63" s="138">
        <f t="shared" si="10"/>
        <v>0</v>
      </c>
      <c r="U63" s="139">
        <f t="shared" si="6"/>
        <v>0</v>
      </c>
      <c r="V63" s="140">
        <f t="shared" si="7"/>
        <v>0</v>
      </c>
    </row>
    <row r="64" spans="1:22" ht="15.75">
      <c r="A64" s="109" t="s">
        <v>221</v>
      </c>
      <c r="B64" s="111" t="s">
        <v>38</v>
      </c>
      <c r="C64" s="30">
        <v>13.33</v>
      </c>
      <c r="D64" s="117">
        <f t="shared" si="9"/>
        <v>13.33</v>
      </c>
      <c r="E64" s="111" t="s">
        <v>38</v>
      </c>
      <c r="F64" s="30">
        <v>8.5</v>
      </c>
      <c r="G64" s="54">
        <f>F64/1</f>
        <v>8.5</v>
      </c>
      <c r="H64" s="111" t="s">
        <v>38</v>
      </c>
      <c r="I64" s="30">
        <v>11.25</v>
      </c>
      <c r="J64" s="54">
        <f t="shared" si="8"/>
        <v>11.25</v>
      </c>
      <c r="K64" s="113" t="s">
        <v>38</v>
      </c>
      <c r="L64" s="8">
        <v>10.18</v>
      </c>
      <c r="M64" s="112">
        <f t="shared" si="11"/>
        <v>10.18</v>
      </c>
      <c r="N64" t="s">
        <v>393</v>
      </c>
      <c r="P64" s="140"/>
      <c r="Q64" s="140"/>
      <c r="R64" s="137"/>
      <c r="S64" s="138">
        <f t="shared" si="5"/>
        <v>0</v>
      </c>
      <c r="T64" s="138">
        <f t="shared" si="10"/>
        <v>0</v>
      </c>
      <c r="U64" s="139">
        <f t="shared" si="6"/>
        <v>0</v>
      </c>
      <c r="V64" s="140">
        <f t="shared" si="7"/>
        <v>0</v>
      </c>
    </row>
    <row r="65" spans="1:22" ht="15.75">
      <c r="A65" s="109" t="s">
        <v>222</v>
      </c>
      <c r="B65" s="111" t="s">
        <v>38</v>
      </c>
      <c r="C65" s="30">
        <v>4.55</v>
      </c>
      <c r="D65" s="117">
        <f t="shared" si="9"/>
        <v>4.55</v>
      </c>
      <c r="E65" s="111" t="s">
        <v>38</v>
      </c>
      <c r="F65" s="30">
        <v>3.8</v>
      </c>
      <c r="G65" s="54">
        <f>F65/1</f>
        <v>3.8</v>
      </c>
      <c r="H65" s="111" t="s">
        <v>38</v>
      </c>
      <c r="I65" s="30">
        <v>2.99</v>
      </c>
      <c r="J65" s="54">
        <f t="shared" si="8"/>
        <v>2.99</v>
      </c>
      <c r="K65" s="113" t="s">
        <v>38</v>
      </c>
      <c r="L65" s="8">
        <v>3.99</v>
      </c>
      <c r="M65" s="112">
        <f t="shared" si="11"/>
        <v>3.99</v>
      </c>
      <c r="P65" s="140"/>
      <c r="Q65" s="140"/>
      <c r="R65" s="137"/>
      <c r="S65" s="138">
        <f t="shared" si="5"/>
        <v>0</v>
      </c>
      <c r="T65" s="138">
        <f t="shared" si="10"/>
        <v>0</v>
      </c>
      <c r="U65" s="139">
        <f t="shared" si="6"/>
        <v>0</v>
      </c>
      <c r="V65" s="140">
        <f t="shared" si="7"/>
        <v>0</v>
      </c>
    </row>
    <row r="66" spans="1:22" ht="15.75">
      <c r="A66" s="109" t="s">
        <v>223</v>
      </c>
      <c r="B66" s="111" t="s">
        <v>38</v>
      </c>
      <c r="C66" s="30">
        <v>5.9</v>
      </c>
      <c r="D66" s="117">
        <f t="shared" si="9"/>
        <v>5.9</v>
      </c>
      <c r="E66" s="111" t="s">
        <v>38</v>
      </c>
      <c r="F66" s="30">
        <v>4.2</v>
      </c>
      <c r="G66" s="54">
        <f>F66/1</f>
        <v>4.2</v>
      </c>
      <c r="H66" s="111" t="s">
        <v>38</v>
      </c>
      <c r="I66" s="30">
        <v>4.38</v>
      </c>
      <c r="J66" s="54">
        <f t="shared" si="8"/>
        <v>4.38</v>
      </c>
      <c r="K66" s="111" t="s">
        <v>38</v>
      </c>
      <c r="L66" s="5">
        <v>5.12</v>
      </c>
      <c r="M66" s="54">
        <f t="shared" si="11"/>
        <v>5.12</v>
      </c>
      <c r="P66" s="140"/>
      <c r="Q66" s="140"/>
      <c r="R66" s="137"/>
      <c r="S66" s="138">
        <f t="shared" si="5"/>
        <v>0</v>
      </c>
      <c r="T66" s="138">
        <f t="shared" si="10"/>
        <v>0</v>
      </c>
      <c r="U66" s="139">
        <f t="shared" si="6"/>
        <v>0</v>
      </c>
      <c r="V66" s="140">
        <f t="shared" si="7"/>
        <v>0</v>
      </c>
    </row>
    <row r="67" spans="1:22" ht="15.75">
      <c r="A67" s="109" t="s">
        <v>224</v>
      </c>
      <c r="B67" s="111" t="s">
        <v>38</v>
      </c>
      <c r="C67" s="30">
        <v>0.97</v>
      </c>
      <c r="D67" s="117">
        <f t="shared" si="9"/>
        <v>0.97</v>
      </c>
      <c r="E67" s="111" t="s">
        <v>327</v>
      </c>
      <c r="F67" s="30">
        <v>12</v>
      </c>
      <c r="G67" s="54">
        <f>F67/12</f>
        <v>1</v>
      </c>
      <c r="H67" s="111" t="s">
        <v>38</v>
      </c>
      <c r="I67" s="30">
        <v>0.85</v>
      </c>
      <c r="J67" s="54">
        <f t="shared" si="8"/>
        <v>0.85</v>
      </c>
      <c r="K67" s="111" t="s">
        <v>390</v>
      </c>
      <c r="L67" s="5">
        <v>0.67</v>
      </c>
      <c r="M67" s="54">
        <f t="shared" si="11"/>
        <v>0.67</v>
      </c>
      <c r="P67" s="140"/>
      <c r="Q67" s="140"/>
      <c r="R67" s="137"/>
      <c r="S67" s="138">
        <f t="shared" si="5"/>
        <v>0</v>
      </c>
      <c r="T67" s="138">
        <f t="shared" si="10"/>
        <v>0</v>
      </c>
      <c r="U67" s="139">
        <f t="shared" si="6"/>
        <v>0</v>
      </c>
      <c r="V67" s="140">
        <f t="shared" si="7"/>
        <v>0</v>
      </c>
    </row>
    <row r="68" spans="1:22" ht="15.75">
      <c r="A68" s="109" t="s">
        <v>225</v>
      </c>
      <c r="B68" s="111" t="s">
        <v>38</v>
      </c>
      <c r="C68" s="120">
        <v>3.41</v>
      </c>
      <c r="D68" s="54">
        <f t="shared" si="9"/>
        <v>3.41</v>
      </c>
      <c r="E68" s="111" t="s">
        <v>38</v>
      </c>
      <c r="F68" s="30">
        <v>1.96</v>
      </c>
      <c r="G68" s="54">
        <f aca="true" t="shared" si="12" ref="G68:G85">F68/1</f>
        <v>1.96</v>
      </c>
      <c r="H68" s="111" t="s">
        <v>38</v>
      </c>
      <c r="I68" s="30">
        <v>2.1</v>
      </c>
      <c r="J68" s="54">
        <f t="shared" si="8"/>
        <v>2.1</v>
      </c>
      <c r="K68" s="111" t="s">
        <v>38</v>
      </c>
      <c r="L68" s="5">
        <v>2.95</v>
      </c>
      <c r="M68" s="54">
        <f t="shared" si="11"/>
        <v>2.95</v>
      </c>
      <c r="P68" s="140"/>
      <c r="Q68" s="140"/>
      <c r="R68" s="137"/>
      <c r="S68" s="138">
        <f t="shared" si="5"/>
        <v>0</v>
      </c>
      <c r="T68" s="138">
        <f t="shared" si="10"/>
        <v>0</v>
      </c>
      <c r="U68" s="139">
        <f t="shared" si="6"/>
        <v>0</v>
      </c>
      <c r="V68" s="140">
        <f t="shared" si="7"/>
        <v>0</v>
      </c>
    </row>
    <row r="69" spans="1:22" ht="15.75">
      <c r="A69" s="109" t="s">
        <v>226</v>
      </c>
      <c r="B69" s="111" t="s">
        <v>38</v>
      </c>
      <c r="C69" s="120">
        <v>2.2</v>
      </c>
      <c r="D69" s="121">
        <f t="shared" si="9"/>
        <v>2.2</v>
      </c>
      <c r="E69" s="111" t="s">
        <v>38</v>
      </c>
      <c r="F69" s="30">
        <v>1.75</v>
      </c>
      <c r="G69" s="30">
        <f t="shared" si="12"/>
        <v>1.75</v>
      </c>
      <c r="H69" s="111" t="s">
        <v>38</v>
      </c>
      <c r="I69" s="30">
        <v>1.95</v>
      </c>
      <c r="J69" s="30">
        <f t="shared" si="8"/>
        <v>1.95</v>
      </c>
      <c r="K69" s="111" t="s">
        <v>38</v>
      </c>
      <c r="L69" s="5">
        <v>1.89</v>
      </c>
      <c r="M69" s="54">
        <f t="shared" si="11"/>
        <v>1.89</v>
      </c>
      <c r="P69" s="140"/>
      <c r="Q69" s="140"/>
      <c r="R69" s="137"/>
      <c r="S69" s="138">
        <f t="shared" si="5"/>
        <v>0</v>
      </c>
      <c r="T69" s="138">
        <f t="shared" si="10"/>
        <v>0</v>
      </c>
      <c r="U69" s="139">
        <f t="shared" si="6"/>
        <v>0</v>
      </c>
      <c r="V69" s="140">
        <f t="shared" si="7"/>
        <v>0</v>
      </c>
    </row>
    <row r="70" spans="1:22" ht="15.75">
      <c r="A70" s="109" t="s">
        <v>227</v>
      </c>
      <c r="B70" s="111" t="s">
        <v>38</v>
      </c>
      <c r="C70" s="120">
        <v>36.4</v>
      </c>
      <c r="D70" s="121">
        <f t="shared" si="9"/>
        <v>36.4</v>
      </c>
      <c r="E70" s="111" t="s">
        <v>38</v>
      </c>
      <c r="F70" s="5">
        <v>29</v>
      </c>
      <c r="G70" s="5">
        <f t="shared" si="12"/>
        <v>29</v>
      </c>
      <c r="H70" s="111" t="s">
        <v>38</v>
      </c>
      <c r="I70" s="5">
        <v>42</v>
      </c>
      <c r="J70" s="5">
        <f t="shared" si="8"/>
        <v>42</v>
      </c>
      <c r="K70" s="111" t="s">
        <v>38</v>
      </c>
      <c r="L70" s="5">
        <v>29.98</v>
      </c>
      <c r="M70" s="54">
        <f t="shared" si="11"/>
        <v>29.98</v>
      </c>
      <c r="P70" s="140"/>
      <c r="Q70" s="140"/>
      <c r="R70" s="137"/>
      <c r="S70" s="138">
        <f t="shared" si="5"/>
        <v>0</v>
      </c>
      <c r="T70" s="138">
        <f t="shared" si="10"/>
        <v>0</v>
      </c>
      <c r="U70" s="139">
        <f t="shared" si="6"/>
        <v>0</v>
      </c>
      <c r="V70" s="140">
        <f t="shared" si="7"/>
        <v>0</v>
      </c>
    </row>
    <row r="71" spans="1:22" ht="15.75">
      <c r="A71" s="109" t="s">
        <v>228</v>
      </c>
      <c r="B71" s="111" t="s">
        <v>38</v>
      </c>
      <c r="C71" s="120">
        <v>74.2</v>
      </c>
      <c r="D71" s="121">
        <f t="shared" si="9"/>
        <v>74.2</v>
      </c>
      <c r="E71" s="111" t="s">
        <v>38</v>
      </c>
      <c r="F71" s="5">
        <v>85</v>
      </c>
      <c r="G71" s="5">
        <f t="shared" si="12"/>
        <v>85</v>
      </c>
      <c r="H71" s="111" t="s">
        <v>38</v>
      </c>
      <c r="I71" s="5">
        <v>68.5</v>
      </c>
      <c r="J71" s="5">
        <f t="shared" si="8"/>
        <v>68.5</v>
      </c>
      <c r="K71" s="111" t="s">
        <v>38</v>
      </c>
      <c r="L71" s="5">
        <v>73.78</v>
      </c>
      <c r="M71" s="54">
        <f t="shared" si="11"/>
        <v>73.78</v>
      </c>
      <c r="P71" s="140"/>
      <c r="Q71" s="140"/>
      <c r="R71" s="137"/>
      <c r="S71" s="138">
        <f aca="true" t="shared" si="13" ref="S71:S98">Q71*D71</f>
        <v>0</v>
      </c>
      <c r="T71" s="138">
        <f t="shared" si="10"/>
        <v>0</v>
      </c>
      <c r="U71" s="139">
        <f aca="true" t="shared" si="14" ref="U71:U98">Q71*J71</f>
        <v>0</v>
      </c>
      <c r="V71" s="140">
        <f aca="true" t="shared" si="15" ref="V71:V98">Q71*M71</f>
        <v>0</v>
      </c>
    </row>
    <row r="72" spans="1:22" ht="15.75">
      <c r="A72" s="109" t="s">
        <v>229</v>
      </c>
      <c r="B72" s="111" t="s">
        <v>38</v>
      </c>
      <c r="C72" s="120">
        <v>1.74</v>
      </c>
      <c r="D72" s="121">
        <f t="shared" si="9"/>
        <v>1.74</v>
      </c>
      <c r="E72" s="111" t="s">
        <v>38</v>
      </c>
      <c r="F72" s="30">
        <v>1.36</v>
      </c>
      <c r="G72" s="5">
        <f t="shared" si="12"/>
        <v>1.36</v>
      </c>
      <c r="H72" s="111" t="s">
        <v>38</v>
      </c>
      <c r="I72" s="30">
        <v>1.35</v>
      </c>
      <c r="J72" s="5">
        <f t="shared" si="8"/>
        <v>1.35</v>
      </c>
      <c r="K72" s="111" t="s">
        <v>38</v>
      </c>
      <c r="L72" s="5">
        <v>1.64</v>
      </c>
      <c r="M72" s="54">
        <f t="shared" si="11"/>
        <v>1.64</v>
      </c>
      <c r="P72" s="140"/>
      <c r="Q72" s="140"/>
      <c r="R72" s="137"/>
      <c r="S72" s="138">
        <f t="shared" si="13"/>
        <v>0</v>
      </c>
      <c r="T72" s="138">
        <f t="shared" si="10"/>
        <v>0</v>
      </c>
      <c r="U72" s="139">
        <f t="shared" si="14"/>
        <v>0</v>
      </c>
      <c r="V72" s="140">
        <f t="shared" si="15"/>
        <v>0</v>
      </c>
    </row>
    <row r="73" spans="1:22" ht="15.75">
      <c r="A73" s="109" t="s">
        <v>230</v>
      </c>
      <c r="B73" s="111" t="s">
        <v>38</v>
      </c>
      <c r="C73" s="120">
        <v>1.74</v>
      </c>
      <c r="D73" s="121">
        <f t="shared" si="9"/>
        <v>1.74</v>
      </c>
      <c r="E73" s="111" t="s">
        <v>38</v>
      </c>
      <c r="F73" s="30">
        <v>1.36</v>
      </c>
      <c r="G73" s="30">
        <f t="shared" si="12"/>
        <v>1.36</v>
      </c>
      <c r="H73" s="111" t="s">
        <v>38</v>
      </c>
      <c r="I73" s="30">
        <v>1.15</v>
      </c>
      <c r="J73" s="30">
        <f t="shared" si="8"/>
        <v>1.15</v>
      </c>
      <c r="K73" s="111" t="s">
        <v>38</v>
      </c>
      <c r="L73" s="5">
        <v>1.41</v>
      </c>
      <c r="M73" s="54">
        <f t="shared" si="11"/>
        <v>1.41</v>
      </c>
      <c r="P73" s="140"/>
      <c r="Q73" s="140"/>
      <c r="R73" s="137"/>
      <c r="S73" s="138">
        <f t="shared" si="13"/>
        <v>0</v>
      </c>
      <c r="T73" s="138">
        <f t="shared" si="10"/>
        <v>0</v>
      </c>
      <c r="U73" s="139">
        <f t="shared" si="14"/>
        <v>0</v>
      </c>
      <c r="V73" s="140">
        <f t="shared" si="15"/>
        <v>0</v>
      </c>
    </row>
    <row r="74" spans="1:22" ht="15.75">
      <c r="A74" s="109" t="s">
        <v>231</v>
      </c>
      <c r="B74" s="111" t="s">
        <v>38</v>
      </c>
      <c r="C74" s="120">
        <v>0.94</v>
      </c>
      <c r="D74" s="121">
        <f t="shared" si="9"/>
        <v>0.94</v>
      </c>
      <c r="E74" s="111" t="s">
        <v>38</v>
      </c>
      <c r="F74" s="5">
        <v>1</v>
      </c>
      <c r="G74" s="54">
        <f t="shared" si="12"/>
        <v>1</v>
      </c>
      <c r="H74" s="111" t="s">
        <v>365</v>
      </c>
      <c r="I74" s="5">
        <v>1.2</v>
      </c>
      <c r="J74" s="54">
        <f t="shared" si="8"/>
        <v>1.2</v>
      </c>
      <c r="K74" s="111" t="s">
        <v>391</v>
      </c>
      <c r="L74" s="5">
        <v>1.15</v>
      </c>
      <c r="M74" s="54">
        <f t="shared" si="11"/>
        <v>1.15</v>
      </c>
      <c r="P74" s="140"/>
      <c r="Q74" s="140"/>
      <c r="R74" s="137"/>
      <c r="S74" s="138">
        <f t="shared" si="13"/>
        <v>0</v>
      </c>
      <c r="T74" s="138">
        <f t="shared" si="10"/>
        <v>0</v>
      </c>
      <c r="U74" s="139">
        <f t="shared" si="14"/>
        <v>0</v>
      </c>
      <c r="V74" s="140">
        <f t="shared" si="15"/>
        <v>0</v>
      </c>
    </row>
    <row r="75" spans="1:22" ht="15.75">
      <c r="A75" s="109" t="s">
        <v>232</v>
      </c>
      <c r="B75" s="111" t="s">
        <v>38</v>
      </c>
      <c r="C75" s="120">
        <v>7.02</v>
      </c>
      <c r="D75" s="121">
        <f t="shared" si="9"/>
        <v>7.02</v>
      </c>
      <c r="E75" s="111" t="s">
        <v>38</v>
      </c>
      <c r="F75" s="5">
        <v>4.3</v>
      </c>
      <c r="G75" s="54">
        <f t="shared" si="12"/>
        <v>4.3</v>
      </c>
      <c r="H75" s="111" t="s">
        <v>38</v>
      </c>
      <c r="I75" s="5">
        <v>2.99</v>
      </c>
      <c r="J75" s="54">
        <f t="shared" si="8"/>
        <v>2.99</v>
      </c>
      <c r="K75" s="111" t="s">
        <v>38</v>
      </c>
      <c r="L75" s="5">
        <v>2.94</v>
      </c>
      <c r="M75" s="54">
        <f t="shared" si="11"/>
        <v>2.94</v>
      </c>
      <c r="P75" s="140"/>
      <c r="Q75" s="140"/>
      <c r="R75" s="137"/>
      <c r="S75" s="138">
        <f t="shared" si="13"/>
        <v>0</v>
      </c>
      <c r="T75" s="138">
        <f t="shared" si="10"/>
        <v>0</v>
      </c>
      <c r="U75" s="139">
        <f t="shared" si="14"/>
        <v>0</v>
      </c>
      <c r="V75" s="140">
        <f t="shared" si="15"/>
        <v>0</v>
      </c>
    </row>
    <row r="76" spans="1:22" ht="15.75">
      <c r="A76" s="109" t="s">
        <v>233</v>
      </c>
      <c r="B76" s="111" t="s">
        <v>38</v>
      </c>
      <c r="C76" s="120">
        <v>1.66</v>
      </c>
      <c r="D76" s="121">
        <f t="shared" si="9"/>
        <v>1.66</v>
      </c>
      <c r="E76" s="111" t="s">
        <v>38</v>
      </c>
      <c r="F76" s="5">
        <v>1.8</v>
      </c>
      <c r="G76" s="54">
        <f t="shared" si="12"/>
        <v>1.8</v>
      </c>
      <c r="H76" s="111" t="s">
        <v>38</v>
      </c>
      <c r="I76" s="5">
        <v>1.89</v>
      </c>
      <c r="J76" s="54">
        <f t="shared" si="8"/>
        <v>1.89</v>
      </c>
      <c r="K76" s="111" t="s">
        <v>38</v>
      </c>
      <c r="L76" s="5">
        <v>1.23</v>
      </c>
      <c r="M76" s="54">
        <f t="shared" si="11"/>
        <v>1.23</v>
      </c>
      <c r="P76" s="140"/>
      <c r="Q76" s="140"/>
      <c r="R76" s="137"/>
      <c r="S76" s="138">
        <f t="shared" si="13"/>
        <v>0</v>
      </c>
      <c r="T76" s="138">
        <f t="shared" si="10"/>
        <v>0</v>
      </c>
      <c r="U76" s="139">
        <f t="shared" si="14"/>
        <v>0</v>
      </c>
      <c r="V76" s="140">
        <f t="shared" si="15"/>
        <v>0</v>
      </c>
    </row>
    <row r="77" spans="1:22" ht="15.75">
      <c r="A77" s="109" t="s">
        <v>234</v>
      </c>
      <c r="B77" s="111" t="s">
        <v>38</v>
      </c>
      <c r="C77" s="120">
        <v>1.95</v>
      </c>
      <c r="D77" s="121">
        <f t="shared" si="9"/>
        <v>1.95</v>
      </c>
      <c r="E77" s="111" t="s">
        <v>38</v>
      </c>
      <c r="F77" s="5">
        <v>3.5</v>
      </c>
      <c r="G77" s="54">
        <f t="shared" si="12"/>
        <v>3.5</v>
      </c>
      <c r="H77" s="111" t="s">
        <v>366</v>
      </c>
      <c r="I77" s="5">
        <v>4.07</v>
      </c>
      <c r="J77" s="54">
        <f t="shared" si="8"/>
        <v>4.07</v>
      </c>
      <c r="K77" s="111" t="s">
        <v>38</v>
      </c>
      <c r="L77" s="5">
        <v>2.23</v>
      </c>
      <c r="M77" s="54">
        <f t="shared" si="11"/>
        <v>2.23</v>
      </c>
      <c r="N77" t="s">
        <v>392</v>
      </c>
      <c r="P77" s="140"/>
      <c r="Q77" s="140"/>
      <c r="R77" s="137"/>
      <c r="S77" s="138">
        <f t="shared" si="13"/>
        <v>0</v>
      </c>
      <c r="T77" s="138">
        <f t="shared" si="10"/>
        <v>0</v>
      </c>
      <c r="U77" s="139">
        <f t="shared" si="14"/>
        <v>0</v>
      </c>
      <c r="V77" s="140">
        <f t="shared" si="15"/>
        <v>0</v>
      </c>
    </row>
    <row r="78" spans="1:22" ht="15.75">
      <c r="A78" s="109" t="s">
        <v>235</v>
      </c>
      <c r="B78" s="111" t="s">
        <v>38</v>
      </c>
      <c r="C78" s="120">
        <v>3.9</v>
      </c>
      <c r="D78" s="121">
        <f t="shared" si="9"/>
        <v>3.9</v>
      </c>
      <c r="E78" s="111" t="s">
        <v>38</v>
      </c>
      <c r="F78" s="5">
        <v>3.9</v>
      </c>
      <c r="G78" s="54">
        <f t="shared" si="12"/>
        <v>3.9</v>
      </c>
      <c r="H78" s="111" t="s">
        <v>38</v>
      </c>
      <c r="I78" s="5">
        <v>1.96</v>
      </c>
      <c r="J78" s="54">
        <f t="shared" si="8"/>
        <v>1.96</v>
      </c>
      <c r="K78" s="111" t="s">
        <v>38</v>
      </c>
      <c r="L78" s="5">
        <v>3.02</v>
      </c>
      <c r="M78" s="54">
        <f t="shared" si="11"/>
        <v>3.02</v>
      </c>
      <c r="P78" s="140"/>
      <c r="Q78" s="140"/>
      <c r="R78" s="137"/>
      <c r="S78" s="138">
        <f t="shared" si="13"/>
        <v>0</v>
      </c>
      <c r="T78" s="138">
        <f t="shared" si="10"/>
        <v>0</v>
      </c>
      <c r="U78" s="139">
        <f t="shared" si="14"/>
        <v>0</v>
      </c>
      <c r="V78" s="140">
        <f t="shared" si="15"/>
        <v>0</v>
      </c>
    </row>
    <row r="79" spans="1:22" ht="25.5">
      <c r="A79" s="109" t="s">
        <v>236</v>
      </c>
      <c r="B79" s="111" t="s">
        <v>289</v>
      </c>
      <c r="C79" s="120">
        <v>15.15</v>
      </c>
      <c r="D79" s="121">
        <f t="shared" si="9"/>
        <v>15.15</v>
      </c>
      <c r="E79" s="111" t="s">
        <v>38</v>
      </c>
      <c r="F79" s="5">
        <v>11</v>
      </c>
      <c r="G79" s="54">
        <f t="shared" si="12"/>
        <v>11</v>
      </c>
      <c r="H79" s="111" t="s">
        <v>38</v>
      </c>
      <c r="I79" s="5">
        <v>2.69</v>
      </c>
      <c r="J79" s="54">
        <f t="shared" si="8"/>
        <v>2.69</v>
      </c>
      <c r="K79" s="111" t="s">
        <v>38</v>
      </c>
      <c r="L79" s="5">
        <v>13.1</v>
      </c>
      <c r="M79" s="54">
        <f t="shared" si="11"/>
        <v>13.1</v>
      </c>
      <c r="P79" s="140"/>
      <c r="Q79" s="140"/>
      <c r="R79" s="137"/>
      <c r="S79" s="138">
        <f t="shared" si="13"/>
        <v>0</v>
      </c>
      <c r="T79" s="138">
        <f t="shared" si="10"/>
        <v>0</v>
      </c>
      <c r="U79" s="139">
        <f t="shared" si="14"/>
        <v>0</v>
      </c>
      <c r="V79" s="140">
        <f t="shared" si="15"/>
        <v>0</v>
      </c>
    </row>
    <row r="80" spans="1:22" ht="15.75">
      <c r="A80" s="109" t="s">
        <v>237</v>
      </c>
      <c r="B80" s="111" t="s">
        <v>38</v>
      </c>
      <c r="C80" s="120">
        <v>1.04</v>
      </c>
      <c r="D80" s="121">
        <f t="shared" si="9"/>
        <v>1.04</v>
      </c>
      <c r="E80" s="111" t="s">
        <v>38</v>
      </c>
      <c r="F80" s="5">
        <v>1.9</v>
      </c>
      <c r="G80" s="54">
        <f t="shared" si="12"/>
        <v>1.9</v>
      </c>
      <c r="H80" s="111" t="s">
        <v>38</v>
      </c>
      <c r="I80" s="5">
        <v>1.99</v>
      </c>
      <c r="J80" s="54">
        <f t="shared" si="8"/>
        <v>1.99</v>
      </c>
      <c r="K80" s="111" t="s">
        <v>38</v>
      </c>
      <c r="L80" s="5">
        <v>1.09</v>
      </c>
      <c r="M80" s="54">
        <f t="shared" si="11"/>
        <v>1.09</v>
      </c>
      <c r="P80" s="140"/>
      <c r="Q80" s="140"/>
      <c r="R80" s="137"/>
      <c r="S80" s="138">
        <f t="shared" si="13"/>
        <v>0</v>
      </c>
      <c r="T80" s="138">
        <f t="shared" si="10"/>
        <v>0</v>
      </c>
      <c r="U80" s="139">
        <f t="shared" si="14"/>
        <v>0</v>
      </c>
      <c r="V80" s="140">
        <f t="shared" si="15"/>
        <v>0</v>
      </c>
    </row>
    <row r="81" spans="1:22" ht="15.75">
      <c r="A81" s="109" t="s">
        <v>16</v>
      </c>
      <c r="B81" s="111" t="s">
        <v>38</v>
      </c>
      <c r="C81" s="120">
        <v>7.35</v>
      </c>
      <c r="D81" s="121">
        <f t="shared" si="9"/>
        <v>7.35</v>
      </c>
      <c r="E81" s="111" t="s">
        <v>38</v>
      </c>
      <c r="F81" s="5">
        <v>6</v>
      </c>
      <c r="G81" s="54">
        <f t="shared" si="12"/>
        <v>6</v>
      </c>
      <c r="H81" s="111" t="s">
        <v>38</v>
      </c>
      <c r="I81" s="5">
        <v>3.5</v>
      </c>
      <c r="J81" s="54">
        <f t="shared" si="8"/>
        <v>3.5</v>
      </c>
      <c r="K81" s="111" t="s">
        <v>38</v>
      </c>
      <c r="L81" s="5">
        <v>5.79</v>
      </c>
      <c r="M81" s="54">
        <f t="shared" si="11"/>
        <v>5.79</v>
      </c>
      <c r="P81" s="140"/>
      <c r="Q81" s="140"/>
      <c r="R81" s="137"/>
      <c r="S81" s="138">
        <f t="shared" si="13"/>
        <v>0</v>
      </c>
      <c r="T81" s="138">
        <f t="shared" si="10"/>
        <v>0</v>
      </c>
      <c r="U81" s="139">
        <f t="shared" si="14"/>
        <v>0</v>
      </c>
      <c r="V81" s="140">
        <f t="shared" si="15"/>
        <v>0</v>
      </c>
    </row>
    <row r="82" spans="1:22" ht="15.75">
      <c r="A82" s="109" t="s">
        <v>238</v>
      </c>
      <c r="B82" s="111" t="s">
        <v>38</v>
      </c>
      <c r="C82" s="120">
        <v>2.56</v>
      </c>
      <c r="D82" s="121">
        <f t="shared" si="9"/>
        <v>2.56</v>
      </c>
      <c r="E82" s="111" t="s">
        <v>38</v>
      </c>
      <c r="F82" s="5">
        <v>2.5</v>
      </c>
      <c r="G82" s="54">
        <f t="shared" si="12"/>
        <v>2.5</v>
      </c>
      <c r="H82" s="111" t="s">
        <v>38</v>
      </c>
      <c r="I82" s="5">
        <v>2.11</v>
      </c>
      <c r="J82" s="54">
        <f t="shared" si="8"/>
        <v>2.11</v>
      </c>
      <c r="K82" s="111" t="s">
        <v>38</v>
      </c>
      <c r="L82" s="5">
        <v>5.34</v>
      </c>
      <c r="M82" s="54">
        <f t="shared" si="11"/>
        <v>5.34</v>
      </c>
      <c r="P82" s="140"/>
      <c r="Q82" s="140"/>
      <c r="R82" s="137"/>
      <c r="S82" s="138">
        <f t="shared" si="13"/>
        <v>0</v>
      </c>
      <c r="T82" s="138">
        <f t="shared" si="10"/>
        <v>0</v>
      </c>
      <c r="U82" s="139">
        <f t="shared" si="14"/>
        <v>0</v>
      </c>
      <c r="V82" s="140">
        <f t="shared" si="15"/>
        <v>0</v>
      </c>
    </row>
    <row r="83" spans="1:22" ht="15.75">
      <c r="A83" s="109" t="s">
        <v>239</v>
      </c>
      <c r="B83" s="111" t="s">
        <v>38</v>
      </c>
      <c r="C83" s="120">
        <v>3.25</v>
      </c>
      <c r="D83" s="121">
        <f t="shared" si="9"/>
        <v>3.25</v>
      </c>
      <c r="E83" s="111" t="s">
        <v>38</v>
      </c>
      <c r="F83" s="5">
        <v>4.8</v>
      </c>
      <c r="G83" s="54">
        <f t="shared" si="12"/>
        <v>4.8</v>
      </c>
      <c r="H83" s="111" t="s">
        <v>38</v>
      </c>
      <c r="I83" s="5">
        <v>6.35</v>
      </c>
      <c r="J83" s="54">
        <f t="shared" si="8"/>
        <v>6.35</v>
      </c>
      <c r="K83" s="111" t="s">
        <v>38</v>
      </c>
      <c r="L83" s="5">
        <v>3.43</v>
      </c>
      <c r="M83" s="54">
        <f t="shared" si="11"/>
        <v>3.43</v>
      </c>
      <c r="P83" s="140"/>
      <c r="Q83" s="140"/>
      <c r="R83" s="137"/>
      <c r="S83" s="138">
        <f t="shared" si="13"/>
        <v>0</v>
      </c>
      <c r="T83" s="138">
        <f t="shared" si="10"/>
        <v>0</v>
      </c>
      <c r="U83" s="139">
        <f t="shared" si="14"/>
        <v>0</v>
      </c>
      <c r="V83" s="140">
        <f t="shared" si="15"/>
        <v>0</v>
      </c>
    </row>
    <row r="84" spans="1:22" ht="15.75">
      <c r="A84" s="109" t="s">
        <v>240</v>
      </c>
      <c r="B84" s="111" t="s">
        <v>38</v>
      </c>
      <c r="C84" s="120">
        <v>3.85</v>
      </c>
      <c r="D84" s="121">
        <f t="shared" si="9"/>
        <v>3.85</v>
      </c>
      <c r="E84" s="111" t="s">
        <v>38</v>
      </c>
      <c r="F84" s="5">
        <v>3.8</v>
      </c>
      <c r="G84" s="54">
        <f t="shared" si="12"/>
        <v>3.8</v>
      </c>
      <c r="H84" s="111" t="s">
        <v>38</v>
      </c>
      <c r="I84" s="5">
        <v>3.96</v>
      </c>
      <c r="J84" s="54">
        <f t="shared" si="8"/>
        <v>3.96</v>
      </c>
      <c r="K84" s="111" t="s">
        <v>38</v>
      </c>
      <c r="L84" s="5">
        <v>3.16</v>
      </c>
      <c r="M84" s="54">
        <f t="shared" si="11"/>
        <v>3.16</v>
      </c>
      <c r="P84" s="140"/>
      <c r="Q84" s="140"/>
      <c r="R84" s="137"/>
      <c r="S84" s="138">
        <f t="shared" si="13"/>
        <v>0</v>
      </c>
      <c r="T84" s="138">
        <f t="shared" si="10"/>
        <v>0</v>
      </c>
      <c r="U84" s="139">
        <f t="shared" si="14"/>
        <v>0</v>
      </c>
      <c r="V84" s="140">
        <f t="shared" si="15"/>
        <v>0</v>
      </c>
    </row>
    <row r="85" spans="1:22" ht="15.75">
      <c r="A85" s="109" t="s">
        <v>241</v>
      </c>
      <c r="B85" s="111" t="s">
        <v>38</v>
      </c>
      <c r="C85" s="120">
        <v>0.97</v>
      </c>
      <c r="D85" s="121">
        <f t="shared" si="9"/>
        <v>0.97</v>
      </c>
      <c r="E85" s="111" t="s">
        <v>38</v>
      </c>
      <c r="F85" s="5">
        <v>2.2</v>
      </c>
      <c r="G85" s="54">
        <f t="shared" si="12"/>
        <v>2.2</v>
      </c>
      <c r="H85" s="111" t="s">
        <v>38</v>
      </c>
      <c r="I85" s="5">
        <v>1.45</v>
      </c>
      <c r="J85" s="54">
        <f t="shared" si="8"/>
        <v>1.45</v>
      </c>
      <c r="K85" s="111" t="s">
        <v>38</v>
      </c>
      <c r="L85" s="5">
        <v>1.51</v>
      </c>
      <c r="M85" s="54">
        <f t="shared" si="11"/>
        <v>1.51</v>
      </c>
      <c r="P85" s="111"/>
      <c r="Q85" s="116"/>
      <c r="R85" s="137"/>
      <c r="S85" s="138">
        <f t="shared" si="13"/>
        <v>0</v>
      </c>
      <c r="T85" s="138">
        <f t="shared" si="10"/>
        <v>0</v>
      </c>
      <c r="U85" s="139">
        <f t="shared" si="14"/>
        <v>0</v>
      </c>
      <c r="V85" s="140">
        <f t="shared" si="15"/>
        <v>0</v>
      </c>
    </row>
    <row r="86" spans="1:22" ht="25.5">
      <c r="A86" s="109" t="s">
        <v>7</v>
      </c>
      <c r="B86" s="111" t="s">
        <v>41</v>
      </c>
      <c r="C86" s="30">
        <f>D86*1000</f>
        <v>18.849999999999998</v>
      </c>
      <c r="D86" s="30">
        <v>0.01885</v>
      </c>
      <c r="E86" s="111" t="s">
        <v>41</v>
      </c>
      <c r="F86" s="5">
        <f>G86*1000</f>
        <v>22</v>
      </c>
      <c r="G86" s="54">
        <v>0.022</v>
      </c>
      <c r="H86" s="111" t="s">
        <v>367</v>
      </c>
      <c r="I86" s="5">
        <v>32.9</v>
      </c>
      <c r="J86" s="134">
        <f>I86/1500</f>
        <v>0.021933333333333332</v>
      </c>
      <c r="K86" s="104" t="s">
        <v>394</v>
      </c>
      <c r="L86" s="5">
        <v>1.2</v>
      </c>
      <c r="M86" s="54">
        <f>L86/50</f>
        <v>0.024</v>
      </c>
      <c r="P86" s="111"/>
      <c r="Q86" s="116"/>
      <c r="R86" s="137"/>
      <c r="S86" s="138">
        <f t="shared" si="13"/>
        <v>0</v>
      </c>
      <c r="T86" s="138">
        <f t="shared" si="10"/>
        <v>0</v>
      </c>
      <c r="U86" s="139">
        <f t="shared" si="14"/>
        <v>0</v>
      </c>
      <c r="V86" s="140">
        <f t="shared" si="15"/>
        <v>0</v>
      </c>
    </row>
    <row r="87" spans="1:22" ht="25.5">
      <c r="A87" s="109" t="s">
        <v>8</v>
      </c>
      <c r="B87" s="111" t="s">
        <v>290</v>
      </c>
      <c r="C87" s="30">
        <f>D87*300</f>
        <v>18.8499</v>
      </c>
      <c r="D87" s="30">
        <v>0.062833</v>
      </c>
      <c r="E87" s="111" t="s">
        <v>331</v>
      </c>
      <c r="F87" s="5">
        <f>G87*400</f>
        <v>31.6</v>
      </c>
      <c r="G87" s="30">
        <v>0.079</v>
      </c>
      <c r="H87" s="111" t="s">
        <v>114</v>
      </c>
      <c r="I87" s="5">
        <v>24.9</v>
      </c>
      <c r="J87" s="54">
        <f>I87/300</f>
        <v>0.08299999999999999</v>
      </c>
      <c r="K87" s="104" t="s">
        <v>395</v>
      </c>
      <c r="L87" s="30">
        <v>1.99</v>
      </c>
      <c r="M87" s="115">
        <f>L87/20</f>
        <v>0.0995</v>
      </c>
      <c r="P87" s="111"/>
      <c r="Q87" s="116"/>
      <c r="R87" s="137"/>
      <c r="S87" s="138">
        <f t="shared" si="13"/>
        <v>0</v>
      </c>
      <c r="T87" s="138">
        <f t="shared" si="10"/>
        <v>0</v>
      </c>
      <c r="U87" s="139">
        <f t="shared" si="14"/>
        <v>0</v>
      </c>
      <c r="V87" s="140">
        <f t="shared" si="15"/>
        <v>0</v>
      </c>
    </row>
    <row r="88" spans="1:22" ht="15.75">
      <c r="A88" s="109" t="s">
        <v>242</v>
      </c>
      <c r="B88" s="111" t="s">
        <v>38</v>
      </c>
      <c r="C88" s="120">
        <v>1.07</v>
      </c>
      <c r="D88" s="30">
        <f>C88/1</f>
        <v>1.07</v>
      </c>
      <c r="E88" s="111" t="s">
        <v>38</v>
      </c>
      <c r="F88" s="5">
        <v>1.2</v>
      </c>
      <c r="G88" s="5">
        <f>F88/1</f>
        <v>1.2</v>
      </c>
      <c r="H88" s="111" t="s">
        <v>38</v>
      </c>
      <c r="I88" s="5">
        <v>1.68</v>
      </c>
      <c r="J88" s="5">
        <f>I88/1</f>
        <v>1.68</v>
      </c>
      <c r="K88" s="111" t="s">
        <v>38</v>
      </c>
      <c r="L88" s="5">
        <v>0.8</v>
      </c>
      <c r="M88" s="5">
        <f>L88/1</f>
        <v>0.8</v>
      </c>
      <c r="P88" s="116"/>
      <c r="Q88" s="116"/>
      <c r="R88" s="137"/>
      <c r="S88" s="138">
        <f t="shared" si="13"/>
        <v>0</v>
      </c>
      <c r="T88" s="138">
        <f t="shared" si="10"/>
        <v>0</v>
      </c>
      <c r="U88" s="139">
        <f t="shared" si="14"/>
        <v>0</v>
      </c>
      <c r="V88" s="140">
        <f t="shared" si="15"/>
        <v>0</v>
      </c>
    </row>
    <row r="89" spans="1:22" ht="15.75">
      <c r="A89" s="227" t="s">
        <v>243</v>
      </c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P89" s="140"/>
      <c r="Q89" s="140"/>
      <c r="R89" s="137"/>
      <c r="S89" s="138">
        <f t="shared" si="13"/>
        <v>0</v>
      </c>
      <c r="T89" s="138">
        <f t="shared" si="10"/>
        <v>0</v>
      </c>
      <c r="U89" s="139">
        <f t="shared" si="14"/>
        <v>0</v>
      </c>
      <c r="V89" s="140">
        <f t="shared" si="15"/>
        <v>0</v>
      </c>
    </row>
    <row r="90" spans="1:22" ht="31.5">
      <c r="A90" s="109" t="s">
        <v>244</v>
      </c>
      <c r="B90" s="4" t="s">
        <v>38</v>
      </c>
      <c r="C90" s="5">
        <v>44</v>
      </c>
      <c r="D90" s="5">
        <f>C90/1</f>
        <v>44</v>
      </c>
      <c r="E90" s="4" t="s">
        <v>38</v>
      </c>
      <c r="F90" s="5">
        <v>48</v>
      </c>
      <c r="G90" s="5">
        <f>F90/1</f>
        <v>48</v>
      </c>
      <c r="H90" s="4" t="s">
        <v>38</v>
      </c>
      <c r="I90" s="5">
        <v>31</v>
      </c>
      <c r="J90" s="5">
        <f>I90/1</f>
        <v>31</v>
      </c>
      <c r="K90" s="4" t="s">
        <v>38</v>
      </c>
      <c r="L90" s="5">
        <v>44.5</v>
      </c>
      <c r="M90" s="5">
        <f>L90/1</f>
        <v>44.5</v>
      </c>
      <c r="P90" s="140"/>
      <c r="Q90" s="140"/>
      <c r="R90" s="137"/>
      <c r="S90" s="138">
        <f t="shared" si="13"/>
        <v>0</v>
      </c>
      <c r="T90" s="138">
        <f t="shared" si="10"/>
        <v>0</v>
      </c>
      <c r="U90" s="139">
        <f t="shared" si="14"/>
        <v>0</v>
      </c>
      <c r="V90" s="140">
        <f t="shared" si="15"/>
        <v>0</v>
      </c>
    </row>
    <row r="91" spans="1:22" ht="15.75">
      <c r="A91" s="109" t="s">
        <v>245</v>
      </c>
      <c r="B91" s="4" t="s">
        <v>38</v>
      </c>
      <c r="C91" s="5">
        <v>1.1</v>
      </c>
      <c r="D91" s="5">
        <f>C91/1</f>
        <v>1.1</v>
      </c>
      <c r="E91" s="4" t="s">
        <v>38</v>
      </c>
      <c r="F91" s="5">
        <v>3.5</v>
      </c>
      <c r="G91" s="5">
        <f>F91/1</f>
        <v>3.5</v>
      </c>
      <c r="H91" s="4" t="s">
        <v>38</v>
      </c>
      <c r="I91" s="5">
        <v>7.9</v>
      </c>
      <c r="J91" s="5">
        <f>I91/1</f>
        <v>7.9</v>
      </c>
      <c r="K91" s="135" t="s">
        <v>298</v>
      </c>
      <c r="L91" s="132"/>
      <c r="M91" s="132"/>
      <c r="P91" s="140"/>
      <c r="Q91" s="140"/>
      <c r="R91" s="137"/>
      <c r="S91" s="138">
        <f t="shared" si="13"/>
        <v>0</v>
      </c>
      <c r="T91" s="138">
        <f t="shared" si="10"/>
        <v>0</v>
      </c>
      <c r="U91" s="139">
        <f t="shared" si="14"/>
        <v>0</v>
      </c>
      <c r="V91" s="140">
        <f t="shared" si="15"/>
        <v>0</v>
      </c>
    </row>
    <row r="92" spans="1:22" ht="15.75">
      <c r="A92" s="109" t="s">
        <v>246</v>
      </c>
      <c r="B92" s="116" t="s">
        <v>291</v>
      </c>
      <c r="C92" s="5">
        <v>3.5</v>
      </c>
      <c r="D92" s="5">
        <f>C92/50</f>
        <v>0.07</v>
      </c>
      <c r="E92" s="116" t="s">
        <v>34</v>
      </c>
      <c r="F92" s="5">
        <v>2.5</v>
      </c>
      <c r="G92" s="54">
        <f>F92/100</f>
        <v>0.025</v>
      </c>
      <c r="H92" s="116" t="s">
        <v>291</v>
      </c>
      <c r="I92" s="5">
        <v>3.5</v>
      </c>
      <c r="J92" s="54">
        <f>I92/50</f>
        <v>0.07</v>
      </c>
      <c r="K92" s="116" t="s">
        <v>291</v>
      </c>
      <c r="L92" s="5">
        <v>3</v>
      </c>
      <c r="M92" s="54">
        <f>L92/50</f>
        <v>0.06</v>
      </c>
      <c r="P92" s="140"/>
      <c r="Q92" s="140"/>
      <c r="R92" s="137"/>
      <c r="S92" s="138">
        <f t="shared" si="13"/>
        <v>0</v>
      </c>
      <c r="T92" s="138">
        <f t="shared" si="10"/>
        <v>0</v>
      </c>
      <c r="U92" s="139">
        <f t="shared" si="14"/>
        <v>0</v>
      </c>
      <c r="V92" s="140">
        <f t="shared" si="15"/>
        <v>0</v>
      </c>
    </row>
    <row r="93" spans="1:22" ht="15.75">
      <c r="A93" s="109" t="s">
        <v>259</v>
      </c>
      <c r="B93" s="116" t="s">
        <v>332</v>
      </c>
      <c r="C93" s="5">
        <v>22.05</v>
      </c>
      <c r="D93" s="5">
        <f>C93/1</f>
        <v>22.05</v>
      </c>
      <c r="E93" s="116" t="s">
        <v>33</v>
      </c>
      <c r="F93" s="5">
        <v>36</v>
      </c>
      <c r="G93" s="5">
        <f>F93/1</f>
        <v>36</v>
      </c>
      <c r="H93" s="116" t="s">
        <v>33</v>
      </c>
      <c r="I93" s="5">
        <v>16.9</v>
      </c>
      <c r="J93" s="5">
        <f>I93/1</f>
        <v>16.9</v>
      </c>
      <c r="K93" s="135" t="s">
        <v>298</v>
      </c>
      <c r="L93" s="132"/>
      <c r="M93" s="132"/>
      <c r="P93" s="140"/>
      <c r="Q93" s="140"/>
      <c r="R93" s="137"/>
      <c r="S93" s="138">
        <f t="shared" si="13"/>
        <v>0</v>
      </c>
      <c r="T93" s="138">
        <f t="shared" si="10"/>
        <v>0</v>
      </c>
      <c r="U93" s="139">
        <f t="shared" si="14"/>
        <v>0</v>
      </c>
      <c r="V93" s="140">
        <f t="shared" si="15"/>
        <v>0</v>
      </c>
    </row>
    <row r="94" spans="1:22" ht="15.75">
      <c r="A94" s="109" t="s">
        <v>247</v>
      </c>
      <c r="B94" s="4" t="s">
        <v>38</v>
      </c>
      <c r="C94" s="5">
        <v>0.55</v>
      </c>
      <c r="D94" s="5">
        <f>C94/1</f>
        <v>0.55</v>
      </c>
      <c r="E94" s="4" t="s">
        <v>37</v>
      </c>
      <c r="F94" s="5">
        <f>G94*25</f>
        <v>16.5</v>
      </c>
      <c r="G94" s="5">
        <v>0.66</v>
      </c>
      <c r="H94" s="4" t="s">
        <v>38</v>
      </c>
      <c r="I94" s="5">
        <v>0.72</v>
      </c>
      <c r="J94" s="5">
        <f>I94/1</f>
        <v>0.72</v>
      </c>
      <c r="K94" s="135" t="s">
        <v>298</v>
      </c>
      <c r="L94" s="132"/>
      <c r="M94" s="132"/>
      <c r="P94" s="140"/>
      <c r="Q94" s="140"/>
      <c r="R94" s="137"/>
      <c r="S94" s="138">
        <f t="shared" si="13"/>
        <v>0</v>
      </c>
      <c r="T94" s="138">
        <f t="shared" si="10"/>
        <v>0</v>
      </c>
      <c r="U94" s="139">
        <f t="shared" si="14"/>
        <v>0</v>
      </c>
      <c r="V94" s="140">
        <f t="shared" si="15"/>
        <v>0</v>
      </c>
    </row>
    <row r="95" spans="1:22" ht="15.75">
      <c r="A95" s="109" t="s">
        <v>248</v>
      </c>
      <c r="B95" s="4" t="s">
        <v>38</v>
      </c>
      <c r="C95" s="5">
        <v>0.55</v>
      </c>
      <c r="D95" s="5">
        <f>C95/1</f>
        <v>0.55</v>
      </c>
      <c r="E95" s="4" t="s">
        <v>298</v>
      </c>
      <c r="F95" s="130" t="s">
        <v>326</v>
      </c>
      <c r="G95" s="130" t="s">
        <v>326</v>
      </c>
      <c r="H95" s="4" t="s">
        <v>38</v>
      </c>
      <c r="I95" s="5">
        <v>0.72</v>
      </c>
      <c r="J95" s="5">
        <f>I95/1</f>
        <v>0.72</v>
      </c>
      <c r="K95" s="4" t="s">
        <v>396</v>
      </c>
      <c r="L95" s="5">
        <v>30.78</v>
      </c>
      <c r="M95" s="5">
        <f>L95/18</f>
        <v>1.71</v>
      </c>
      <c r="P95" s="140"/>
      <c r="Q95" s="140"/>
      <c r="R95" s="137"/>
      <c r="S95" s="138">
        <f t="shared" si="13"/>
        <v>0</v>
      </c>
      <c r="T95" s="138"/>
      <c r="U95" s="139">
        <f t="shared" si="14"/>
        <v>0</v>
      </c>
      <c r="V95" s="140">
        <f t="shared" si="15"/>
        <v>0</v>
      </c>
    </row>
    <row r="96" spans="1:22" ht="25.5">
      <c r="A96" s="109" t="s">
        <v>249</v>
      </c>
      <c r="B96" s="4" t="s">
        <v>38</v>
      </c>
      <c r="C96" s="5">
        <v>1.15</v>
      </c>
      <c r="D96" s="5">
        <f>C96/1</f>
        <v>1.15</v>
      </c>
      <c r="E96" s="4" t="s">
        <v>327</v>
      </c>
      <c r="F96" s="5">
        <f>G96*12</f>
        <v>25.200000000000003</v>
      </c>
      <c r="G96" s="5">
        <v>2.1</v>
      </c>
      <c r="H96" s="4" t="s">
        <v>38</v>
      </c>
      <c r="I96" s="5">
        <v>1.65</v>
      </c>
      <c r="J96" s="5">
        <f>I96/1</f>
        <v>1.65</v>
      </c>
      <c r="K96" s="104" t="s">
        <v>397</v>
      </c>
      <c r="L96" s="5">
        <v>38.28</v>
      </c>
      <c r="M96" s="5">
        <f>L96/12</f>
        <v>3.19</v>
      </c>
      <c r="P96" s="140"/>
      <c r="Q96" s="140"/>
      <c r="R96" s="137"/>
      <c r="S96" s="138">
        <f t="shared" si="13"/>
        <v>0</v>
      </c>
      <c r="T96" s="138">
        <f>Q96*G96</f>
        <v>0</v>
      </c>
      <c r="U96" s="139">
        <f t="shared" si="14"/>
        <v>0</v>
      </c>
      <c r="V96" s="140">
        <f t="shared" si="15"/>
        <v>0</v>
      </c>
    </row>
    <row r="97" spans="1:22" ht="15.75">
      <c r="A97" s="109" t="s">
        <v>250</v>
      </c>
      <c r="B97" s="4" t="s">
        <v>38</v>
      </c>
      <c r="C97" s="5">
        <v>1.85</v>
      </c>
      <c r="D97" s="5">
        <f>C97/1</f>
        <v>1.85</v>
      </c>
      <c r="E97" s="4" t="s">
        <v>327</v>
      </c>
      <c r="F97" s="5">
        <f>G97*12</f>
        <v>30</v>
      </c>
      <c r="G97" s="5">
        <v>2.5</v>
      </c>
      <c r="H97" s="4" t="s">
        <v>38</v>
      </c>
      <c r="I97" s="5">
        <v>1.65</v>
      </c>
      <c r="J97" s="5">
        <f>I97/1</f>
        <v>1.65</v>
      </c>
      <c r="K97" s="104" t="s">
        <v>398</v>
      </c>
      <c r="L97" s="5">
        <v>33.36</v>
      </c>
      <c r="M97" s="5">
        <f>L97/24</f>
        <v>1.39</v>
      </c>
      <c r="P97" s="140"/>
      <c r="Q97" s="140"/>
      <c r="R97" s="137"/>
      <c r="S97" s="138">
        <f t="shared" si="13"/>
        <v>0</v>
      </c>
      <c r="T97" s="138">
        <f>Q97*G97</f>
        <v>0</v>
      </c>
      <c r="U97" s="139">
        <f t="shared" si="14"/>
        <v>0</v>
      </c>
      <c r="V97" s="140">
        <f t="shared" si="15"/>
        <v>0</v>
      </c>
    </row>
    <row r="98" spans="1:22" ht="25.5">
      <c r="A98" s="109" t="s">
        <v>251</v>
      </c>
      <c r="B98" s="116" t="s">
        <v>34</v>
      </c>
      <c r="C98" s="5">
        <v>0.85</v>
      </c>
      <c r="D98" s="115">
        <f>C98/100</f>
        <v>0.0085</v>
      </c>
      <c r="E98" s="116" t="s">
        <v>333</v>
      </c>
      <c r="F98" s="5">
        <f>G98*3000</f>
        <v>26.999999999999996</v>
      </c>
      <c r="G98" s="54">
        <v>0.009</v>
      </c>
      <c r="H98" s="116" t="s">
        <v>34</v>
      </c>
      <c r="I98" s="5">
        <v>0.89</v>
      </c>
      <c r="J98" s="115">
        <f>I98/100</f>
        <v>0.0089</v>
      </c>
      <c r="K98" s="111" t="s">
        <v>399</v>
      </c>
      <c r="L98" s="5">
        <v>1.12</v>
      </c>
      <c r="M98" s="115">
        <f>L98/100</f>
        <v>0.011200000000000002</v>
      </c>
      <c r="P98" s="140"/>
      <c r="Q98" s="140"/>
      <c r="R98" s="137"/>
      <c r="S98" s="138">
        <f t="shared" si="13"/>
        <v>0</v>
      </c>
      <c r="T98" s="138">
        <f>Q98*G98</f>
        <v>0</v>
      </c>
      <c r="U98" s="139">
        <f t="shared" si="14"/>
        <v>0</v>
      </c>
      <c r="V98" s="140">
        <f t="shared" si="15"/>
        <v>0</v>
      </c>
    </row>
    <row r="99" spans="16:22" ht="12.75">
      <c r="P99" s="137"/>
      <c r="Q99" s="137"/>
      <c r="R99" s="137"/>
      <c r="S99" s="136">
        <f>SUM(S6:S98)</f>
        <v>522.86</v>
      </c>
      <c r="T99" s="136">
        <f>SUM(T6:T98)</f>
        <v>491.36</v>
      </c>
      <c r="U99" s="136">
        <f>SUM(U6:U98)</f>
        <v>522.28</v>
      </c>
      <c r="V99" s="136">
        <f>SUM(V6:V98)</f>
        <v>617.21</v>
      </c>
    </row>
  </sheetData>
  <sheetProtection/>
  <mergeCells count="17">
    <mergeCell ref="A43:M43"/>
    <mergeCell ref="A89:M89"/>
    <mergeCell ref="E4:G4"/>
    <mergeCell ref="H4:J4"/>
    <mergeCell ref="A6:M6"/>
    <mergeCell ref="A18:M18"/>
    <mergeCell ref="A27:M27"/>
    <mergeCell ref="A35:M35"/>
    <mergeCell ref="A2:M2"/>
    <mergeCell ref="S4:S5"/>
    <mergeCell ref="T4:T5"/>
    <mergeCell ref="P4:Q5"/>
    <mergeCell ref="V4:V5"/>
    <mergeCell ref="A4:A5"/>
    <mergeCell ref="B4:D4"/>
    <mergeCell ref="K4:M4"/>
    <mergeCell ref="U4:U5"/>
  </mergeCells>
  <printOptions horizontalCentered="1" verticalCentered="1"/>
  <pageMargins left="0.1968503937007874" right="0.1968503937007874" top="0.3937007874015748" bottom="0.7874015748031497" header="0.2362204724409449" footer="0.15748031496062992"/>
  <pageSetup fitToHeight="2" fitToWidth="2" horizontalDpi="600" verticalDpi="600" orientation="portrait" paperSize="8" scale="47" r:id="rId1"/>
  <colBreaks count="1" manualBreakCount="1">
    <brk id="13" max="98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2:V99"/>
  <sheetViews>
    <sheetView view="pageBreakPreview" zoomScale="75" zoomScaleNormal="90" zoomScaleSheetLayoutView="75" zoomScalePageLayoutView="0" workbookViewId="0" topLeftCell="A1">
      <pane xSplit="1" ySplit="5" topLeftCell="I69" activePane="bottomRight" state="frozen"/>
      <selection pane="topLeft" activeCell="A1" sqref="A1"/>
      <selection pane="topRight" activeCell="B1" sqref="B1"/>
      <selection pane="bottomLeft" activeCell="A6" sqref="A6"/>
      <selection pane="bottomRight" activeCell="Q13" sqref="Q13"/>
    </sheetView>
  </sheetViews>
  <sheetFormatPr defaultColWidth="9.140625" defaultRowHeight="12.75"/>
  <cols>
    <col min="1" max="1" width="69.421875" style="0" customWidth="1"/>
    <col min="2" max="2" width="20.421875" style="0" customWidth="1"/>
    <col min="3" max="3" width="13.140625" style="0" customWidth="1"/>
    <col min="4" max="4" width="12.28125" style="0" customWidth="1"/>
    <col min="5" max="5" width="24.57421875" style="0" customWidth="1"/>
    <col min="6" max="6" width="8.8515625" style="0" customWidth="1"/>
    <col min="7" max="7" width="10.00390625" style="0" customWidth="1"/>
    <col min="8" max="8" width="25.421875" style="0" bestFit="1" customWidth="1"/>
    <col min="9" max="9" width="11.28125" style="0" customWidth="1"/>
    <col min="10" max="10" width="10.57421875" style="0" customWidth="1"/>
    <col min="11" max="11" width="22.8515625" style="0" bestFit="1" customWidth="1"/>
    <col min="12" max="12" width="10.28125" style="0" customWidth="1"/>
    <col min="13" max="13" width="10.8515625" style="0" customWidth="1"/>
    <col min="14" max="14" width="13.8515625" style="0" customWidth="1"/>
    <col min="15" max="15" width="16.7109375" style="0" customWidth="1"/>
    <col min="16" max="16" width="16.28125" style="0" customWidth="1"/>
    <col min="19" max="19" width="11.421875" style="0" bestFit="1" customWidth="1"/>
    <col min="20" max="20" width="14.00390625" style="0" customWidth="1"/>
    <col min="21" max="21" width="11.421875" style="0" bestFit="1" customWidth="1"/>
    <col min="22" max="22" width="11.00390625" style="0" customWidth="1"/>
  </cols>
  <sheetData>
    <row r="1" ht="13.5" thickBot="1"/>
    <row r="2" spans="1:13" ht="18.75" thickBot="1">
      <c r="A2" s="209" t="s">
        <v>321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1"/>
    </row>
    <row r="3" ht="13.5" thickBot="1"/>
    <row r="4" spans="1:22" ht="15.75" customHeight="1">
      <c r="A4" s="218" t="s">
        <v>0</v>
      </c>
      <c r="B4" s="220" t="s">
        <v>29</v>
      </c>
      <c r="C4" s="221"/>
      <c r="D4" s="222"/>
      <c r="E4" s="228" t="s">
        <v>260</v>
      </c>
      <c r="F4" s="229"/>
      <c r="G4" s="230"/>
      <c r="H4" s="231" t="s">
        <v>76</v>
      </c>
      <c r="I4" s="232"/>
      <c r="J4" s="233"/>
      <c r="K4" s="223" t="s">
        <v>78</v>
      </c>
      <c r="L4" s="224"/>
      <c r="M4" s="225"/>
      <c r="N4" s="10"/>
      <c r="P4" s="216" t="s">
        <v>1</v>
      </c>
      <c r="Q4" s="216"/>
      <c r="S4" s="212" t="s">
        <v>57</v>
      </c>
      <c r="T4" s="214" t="s">
        <v>260</v>
      </c>
      <c r="U4" s="226" t="s">
        <v>134</v>
      </c>
      <c r="V4" s="217" t="s">
        <v>138</v>
      </c>
    </row>
    <row r="5" spans="1:22" ht="18.75" customHeight="1">
      <c r="A5" s="219"/>
      <c r="B5" s="64" t="s">
        <v>2</v>
      </c>
      <c r="C5" s="65" t="s">
        <v>3</v>
      </c>
      <c r="D5" s="66" t="s">
        <v>4</v>
      </c>
      <c r="E5" s="67" t="s">
        <v>2</v>
      </c>
      <c r="F5" s="68" t="s">
        <v>3</v>
      </c>
      <c r="G5" s="69" t="s">
        <v>4</v>
      </c>
      <c r="H5" s="70" t="s">
        <v>2</v>
      </c>
      <c r="I5" s="71" t="s">
        <v>3</v>
      </c>
      <c r="J5" s="72" t="s">
        <v>4</v>
      </c>
      <c r="K5" s="76" t="s">
        <v>2</v>
      </c>
      <c r="L5" s="77" t="s">
        <v>3</v>
      </c>
      <c r="M5" s="78" t="s">
        <v>4</v>
      </c>
      <c r="N5" s="11"/>
      <c r="P5" s="216"/>
      <c r="Q5" s="216"/>
      <c r="S5" s="213"/>
      <c r="T5" s="215"/>
      <c r="U5" s="226"/>
      <c r="V5" s="217"/>
    </row>
    <row r="6" spans="1:22" s="28" customFormat="1" ht="25.5" customHeight="1">
      <c r="A6" s="227" t="s">
        <v>252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9"/>
      <c r="P6" s="111"/>
      <c r="Q6" s="116"/>
      <c r="R6" s="137"/>
      <c r="S6" s="138"/>
      <c r="T6" s="138"/>
      <c r="U6" s="139"/>
      <c r="V6" s="140"/>
    </row>
    <row r="7" spans="1:22" s="28" customFormat="1" ht="47.25">
      <c r="A7" s="109" t="s">
        <v>178</v>
      </c>
      <c r="B7" s="111" t="s">
        <v>261</v>
      </c>
      <c r="C7" s="6">
        <v>1.15</v>
      </c>
      <c r="D7" s="54">
        <f>C7/10</f>
        <v>0.11499999999999999</v>
      </c>
      <c r="E7" s="111" t="s">
        <v>292</v>
      </c>
      <c r="F7" s="5">
        <f>G7*10</f>
        <v>1.1</v>
      </c>
      <c r="G7" s="54">
        <v>0.11</v>
      </c>
      <c r="H7" s="111" t="s">
        <v>334</v>
      </c>
      <c r="I7" s="5">
        <v>0.99</v>
      </c>
      <c r="J7" s="54">
        <f>I7/10</f>
        <v>0.099</v>
      </c>
      <c r="K7" s="111" t="s">
        <v>368</v>
      </c>
      <c r="L7" s="5">
        <v>1.59</v>
      </c>
      <c r="M7" s="54">
        <f>L7/10</f>
        <v>0.159</v>
      </c>
      <c r="N7" s="9"/>
      <c r="P7" s="111"/>
      <c r="Q7" s="116">
        <v>720</v>
      </c>
      <c r="R7" s="137"/>
      <c r="S7" s="138">
        <f aca="true" t="shared" si="0" ref="S7:S38">Q7*D7</f>
        <v>82.8</v>
      </c>
      <c r="T7" s="138">
        <f aca="true" t="shared" si="1" ref="T7:T15">Q7*G7</f>
        <v>79.2</v>
      </c>
      <c r="U7" s="139">
        <f aca="true" t="shared" si="2" ref="U7:U38">Q7*J7</f>
        <v>71.28</v>
      </c>
      <c r="V7" s="140">
        <f aca="true" t="shared" si="3" ref="V7:V38">Q7*M7</f>
        <v>114.48</v>
      </c>
    </row>
    <row r="8" spans="1:22" s="28" customFormat="1" ht="47.25">
      <c r="A8" s="109" t="s">
        <v>26</v>
      </c>
      <c r="B8" s="111" t="s">
        <v>261</v>
      </c>
      <c r="C8" s="6">
        <v>1.15</v>
      </c>
      <c r="D8" s="54">
        <v>0.11499999999999999</v>
      </c>
      <c r="E8" s="111" t="s">
        <v>294</v>
      </c>
      <c r="F8" s="8">
        <f>G8*10</f>
        <v>1</v>
      </c>
      <c r="G8" s="112">
        <v>0.1</v>
      </c>
      <c r="H8" s="111" t="s">
        <v>335</v>
      </c>
      <c r="I8" s="5">
        <v>0.99</v>
      </c>
      <c r="J8" s="54">
        <f>I8/10</f>
        <v>0.099</v>
      </c>
      <c r="K8" s="111" t="s">
        <v>115</v>
      </c>
      <c r="L8" s="5">
        <v>13.4</v>
      </c>
      <c r="M8" s="115">
        <f>L8/12/10</f>
        <v>0.11166666666666666</v>
      </c>
      <c r="N8" s="9"/>
      <c r="P8" s="133"/>
      <c r="Q8" s="124"/>
      <c r="R8" s="137"/>
      <c r="S8" s="138">
        <f t="shared" si="0"/>
        <v>0</v>
      </c>
      <c r="T8" s="138">
        <f t="shared" si="1"/>
        <v>0</v>
      </c>
      <c r="U8" s="139">
        <f t="shared" si="2"/>
        <v>0</v>
      </c>
      <c r="V8" s="140">
        <f t="shared" si="3"/>
        <v>0</v>
      </c>
    </row>
    <row r="9" spans="1:22" s="28" customFormat="1" ht="38.25">
      <c r="A9" s="109" t="s">
        <v>179</v>
      </c>
      <c r="B9" s="111" t="s">
        <v>262</v>
      </c>
      <c r="C9" s="6">
        <v>1.23</v>
      </c>
      <c r="D9" s="54">
        <f>C9/4</f>
        <v>0.3075</v>
      </c>
      <c r="E9" s="111" t="s">
        <v>293</v>
      </c>
      <c r="F9" s="5">
        <f>G9*80</f>
        <v>20</v>
      </c>
      <c r="G9" s="54">
        <v>0.25</v>
      </c>
      <c r="H9" s="111" t="s">
        <v>336</v>
      </c>
      <c r="I9" s="5">
        <v>1.3</v>
      </c>
      <c r="J9" s="54">
        <f>I9/4</f>
        <v>0.325</v>
      </c>
      <c r="K9" s="111" t="s">
        <v>369</v>
      </c>
      <c r="L9" s="5">
        <v>25.2</v>
      </c>
      <c r="M9" s="54">
        <f>L9/80</f>
        <v>0.315</v>
      </c>
      <c r="N9" s="9"/>
      <c r="P9" s="133"/>
      <c r="Q9" s="124"/>
      <c r="R9" s="137"/>
      <c r="S9" s="138">
        <f t="shared" si="0"/>
        <v>0</v>
      </c>
      <c r="T9" s="138">
        <f t="shared" si="1"/>
        <v>0</v>
      </c>
      <c r="U9" s="139">
        <f t="shared" si="2"/>
        <v>0</v>
      </c>
      <c r="V9" s="140">
        <f t="shared" si="3"/>
        <v>0</v>
      </c>
    </row>
    <row r="10" spans="1:22" s="28" customFormat="1" ht="63">
      <c r="A10" s="110" t="s">
        <v>180</v>
      </c>
      <c r="B10" s="111" t="s">
        <v>263</v>
      </c>
      <c r="C10" s="6">
        <v>5.05</v>
      </c>
      <c r="D10" s="54">
        <f>C10/2</f>
        <v>2.525</v>
      </c>
      <c r="E10" s="111" t="s">
        <v>295</v>
      </c>
      <c r="F10" s="5">
        <f>G10*2</f>
        <v>6</v>
      </c>
      <c r="G10" s="54">
        <v>3</v>
      </c>
      <c r="H10" s="111" t="s">
        <v>337</v>
      </c>
      <c r="I10" s="5">
        <v>5.2</v>
      </c>
      <c r="J10" s="54">
        <f>I10/2</f>
        <v>2.6</v>
      </c>
      <c r="K10" s="111" t="s">
        <v>371</v>
      </c>
      <c r="L10" s="5">
        <v>7.85</v>
      </c>
      <c r="M10" s="54">
        <f>L10/2</f>
        <v>3.925</v>
      </c>
      <c r="N10" s="9"/>
      <c r="P10" s="111"/>
      <c r="Q10" s="116"/>
      <c r="R10" s="137"/>
      <c r="S10" s="138">
        <f t="shared" si="0"/>
        <v>0</v>
      </c>
      <c r="T10" s="138">
        <f t="shared" si="1"/>
        <v>0</v>
      </c>
      <c r="U10" s="139">
        <f t="shared" si="2"/>
        <v>0</v>
      </c>
      <c r="V10" s="140">
        <f t="shared" si="3"/>
        <v>0</v>
      </c>
    </row>
    <row r="11" spans="1:22" s="28" customFormat="1" ht="63">
      <c r="A11" s="110" t="s">
        <v>181</v>
      </c>
      <c r="B11" s="111" t="s">
        <v>263</v>
      </c>
      <c r="C11" s="6">
        <v>5.05</v>
      </c>
      <c r="D11" s="54">
        <f>C11/2</f>
        <v>2.525</v>
      </c>
      <c r="E11" s="111" t="s">
        <v>296</v>
      </c>
      <c r="F11" s="5">
        <f>G11*2</f>
        <v>4.8</v>
      </c>
      <c r="G11" s="54">
        <v>2.4</v>
      </c>
      <c r="H11" s="111" t="s">
        <v>338</v>
      </c>
      <c r="I11" s="5">
        <v>4.99</v>
      </c>
      <c r="J11" s="54">
        <f>I11/2</f>
        <v>2.495</v>
      </c>
      <c r="K11" s="111" t="s">
        <v>370</v>
      </c>
      <c r="L11" s="5">
        <v>5.98</v>
      </c>
      <c r="M11" s="54">
        <f>L11/2</f>
        <v>2.99</v>
      </c>
      <c r="N11" s="9"/>
      <c r="P11" s="140"/>
      <c r="Q11" s="116">
        <v>20</v>
      </c>
      <c r="R11" s="137"/>
      <c r="S11" s="138">
        <f t="shared" si="0"/>
        <v>50.5</v>
      </c>
      <c r="T11" s="138">
        <f t="shared" si="1"/>
        <v>48</v>
      </c>
      <c r="U11" s="139">
        <f t="shared" si="2"/>
        <v>49.900000000000006</v>
      </c>
      <c r="V11" s="140">
        <f t="shared" si="3"/>
        <v>59.800000000000004</v>
      </c>
    </row>
    <row r="12" spans="1:22" s="28" customFormat="1" ht="31.5" customHeight="1">
      <c r="A12" s="109" t="s">
        <v>182</v>
      </c>
      <c r="B12" s="111" t="s">
        <v>264</v>
      </c>
      <c r="C12" s="6">
        <f>D12*3840</f>
        <v>25.80096</v>
      </c>
      <c r="D12" s="114">
        <v>0.006719</v>
      </c>
      <c r="E12" s="111" t="s">
        <v>297</v>
      </c>
      <c r="F12" s="5">
        <f>G12*3750</f>
        <v>14.25</v>
      </c>
      <c r="G12" s="115">
        <v>0.0038</v>
      </c>
      <c r="H12" s="111" t="s">
        <v>339</v>
      </c>
      <c r="I12" s="5">
        <v>12.5</v>
      </c>
      <c r="J12" s="115">
        <f>I12/3150</f>
        <v>0.003968253968253968</v>
      </c>
      <c r="K12" s="111" t="s">
        <v>372</v>
      </c>
      <c r="L12" s="5">
        <v>21.27</v>
      </c>
      <c r="M12" s="115">
        <f>L12/3060</f>
        <v>0.006950980392156862</v>
      </c>
      <c r="N12" s="9"/>
      <c r="P12" s="111"/>
      <c r="Q12" s="116">
        <v>3750</v>
      </c>
      <c r="R12" s="137"/>
      <c r="S12" s="138">
        <f t="shared" si="0"/>
        <v>25.19625</v>
      </c>
      <c r="T12" s="138">
        <f t="shared" si="1"/>
        <v>14.25</v>
      </c>
      <c r="U12" s="139">
        <f t="shared" si="2"/>
        <v>14.88095238095238</v>
      </c>
      <c r="V12" s="140">
        <f t="shared" si="3"/>
        <v>26.066176470588236</v>
      </c>
    </row>
    <row r="13" spans="1:22" s="28" customFormat="1" ht="15.75">
      <c r="A13" s="109" t="s">
        <v>183</v>
      </c>
      <c r="B13" s="111" t="s">
        <v>38</v>
      </c>
      <c r="C13" s="6">
        <v>10.4</v>
      </c>
      <c r="D13" s="54">
        <f>C13</f>
        <v>10.4</v>
      </c>
      <c r="E13" s="104" t="s">
        <v>38</v>
      </c>
      <c r="F13" s="8">
        <v>16</v>
      </c>
      <c r="G13" s="54">
        <f>F13/1</f>
        <v>16</v>
      </c>
      <c r="H13" s="127" t="s">
        <v>38</v>
      </c>
      <c r="I13" s="8">
        <v>15.2</v>
      </c>
      <c r="J13" s="54">
        <f>I13/1</f>
        <v>15.2</v>
      </c>
      <c r="K13" s="131" t="s">
        <v>38</v>
      </c>
      <c r="L13" s="8">
        <v>13.72</v>
      </c>
      <c r="M13" s="54">
        <f>L13/1</f>
        <v>13.72</v>
      </c>
      <c r="N13" s="9"/>
      <c r="P13" s="111"/>
      <c r="Q13" s="116"/>
      <c r="R13" s="137"/>
      <c r="S13" s="138">
        <f t="shared" si="0"/>
        <v>0</v>
      </c>
      <c r="T13" s="138">
        <f t="shared" si="1"/>
        <v>0</v>
      </c>
      <c r="U13" s="139">
        <f t="shared" si="2"/>
        <v>0</v>
      </c>
      <c r="V13" s="140">
        <f t="shared" si="3"/>
        <v>0</v>
      </c>
    </row>
    <row r="14" spans="1:22" s="28" customFormat="1" ht="35.25" customHeight="1">
      <c r="A14" s="109" t="s">
        <v>184</v>
      </c>
      <c r="B14" s="111" t="s">
        <v>38</v>
      </c>
      <c r="C14" s="6">
        <v>8.1</v>
      </c>
      <c r="D14" s="54">
        <f>C14</f>
        <v>8.1</v>
      </c>
      <c r="E14" s="104" t="s">
        <v>38</v>
      </c>
      <c r="F14" s="5">
        <v>6.8</v>
      </c>
      <c r="G14" s="54">
        <f>F14/1</f>
        <v>6.8</v>
      </c>
      <c r="H14" s="104" t="s">
        <v>38</v>
      </c>
      <c r="I14" s="5">
        <v>15.1</v>
      </c>
      <c r="J14" s="54">
        <f>I14/1</f>
        <v>15.1</v>
      </c>
      <c r="K14" s="104" t="s">
        <v>38</v>
      </c>
      <c r="L14" s="5">
        <v>6.6</v>
      </c>
      <c r="M14" s="54">
        <f>L14/1</f>
        <v>6.6</v>
      </c>
      <c r="N14" s="9"/>
      <c r="P14" s="111"/>
      <c r="Q14" s="116"/>
      <c r="R14" s="137"/>
      <c r="S14" s="138">
        <f t="shared" si="0"/>
        <v>0</v>
      </c>
      <c r="T14" s="138">
        <f t="shared" si="1"/>
        <v>0</v>
      </c>
      <c r="U14" s="139">
        <f t="shared" si="2"/>
        <v>0</v>
      </c>
      <c r="V14" s="140">
        <f t="shared" si="3"/>
        <v>0</v>
      </c>
    </row>
    <row r="15" spans="1:22" s="28" customFormat="1" ht="36.75" customHeight="1">
      <c r="A15" s="109" t="s">
        <v>185</v>
      </c>
      <c r="B15" s="111" t="s">
        <v>265</v>
      </c>
      <c r="C15" s="6">
        <v>13.1</v>
      </c>
      <c r="D15" s="54">
        <f>C15</f>
        <v>13.1</v>
      </c>
      <c r="E15" s="104" t="s">
        <v>265</v>
      </c>
      <c r="F15" s="5">
        <v>12.5</v>
      </c>
      <c r="G15" s="54">
        <f>F15/1</f>
        <v>12.5</v>
      </c>
      <c r="H15" s="104" t="s">
        <v>340</v>
      </c>
      <c r="I15" s="5">
        <v>12.5</v>
      </c>
      <c r="J15" s="54">
        <f>I15/1</f>
        <v>12.5</v>
      </c>
      <c r="K15" s="104" t="s">
        <v>38</v>
      </c>
      <c r="L15" s="5">
        <v>9.34</v>
      </c>
      <c r="M15" s="54">
        <f>L15/1</f>
        <v>9.34</v>
      </c>
      <c r="N15" s="9"/>
      <c r="P15" s="111"/>
      <c r="Q15" s="116"/>
      <c r="R15" s="137"/>
      <c r="S15" s="138">
        <f t="shared" si="0"/>
        <v>0</v>
      </c>
      <c r="T15" s="138">
        <f t="shared" si="1"/>
        <v>0</v>
      </c>
      <c r="U15" s="139">
        <f t="shared" si="2"/>
        <v>0</v>
      </c>
      <c r="V15" s="140">
        <f t="shared" si="3"/>
        <v>0</v>
      </c>
    </row>
    <row r="16" spans="1:22" s="28" customFormat="1" ht="35.25" customHeight="1">
      <c r="A16" s="109" t="s">
        <v>186</v>
      </c>
      <c r="B16" s="111" t="s">
        <v>38</v>
      </c>
      <c r="C16" s="6">
        <v>1.4</v>
      </c>
      <c r="D16" s="54">
        <f>C16</f>
        <v>1.4</v>
      </c>
      <c r="E16" s="104" t="s">
        <v>38</v>
      </c>
      <c r="F16" s="122" t="s">
        <v>298</v>
      </c>
      <c r="G16" s="123" t="s">
        <v>298</v>
      </c>
      <c r="H16" s="104" t="s">
        <v>341</v>
      </c>
      <c r="I16" s="128">
        <v>1.45</v>
      </c>
      <c r="J16" s="54">
        <f>I16/1</f>
        <v>1.45</v>
      </c>
      <c r="K16" s="104" t="s">
        <v>373</v>
      </c>
      <c r="L16" s="128">
        <v>1.19</v>
      </c>
      <c r="M16" s="54">
        <f>L16/1</f>
        <v>1.19</v>
      </c>
      <c r="N16" s="9"/>
      <c r="P16" s="111"/>
      <c r="Q16" s="116"/>
      <c r="R16" s="137"/>
      <c r="S16" s="138">
        <f t="shared" si="0"/>
        <v>0</v>
      </c>
      <c r="T16" s="138"/>
      <c r="U16" s="139">
        <f t="shared" si="2"/>
        <v>0</v>
      </c>
      <c r="V16" s="140">
        <f t="shared" si="3"/>
        <v>0</v>
      </c>
    </row>
    <row r="17" spans="1:22" s="28" customFormat="1" ht="25.5" customHeight="1">
      <c r="A17" s="109" t="s">
        <v>187</v>
      </c>
      <c r="B17" s="111" t="s">
        <v>38</v>
      </c>
      <c r="C17" s="6">
        <v>1.4</v>
      </c>
      <c r="D17" s="54">
        <f>C17</f>
        <v>1.4</v>
      </c>
      <c r="E17" s="111" t="s">
        <v>38</v>
      </c>
      <c r="F17" s="5">
        <v>1.3</v>
      </c>
      <c r="G17" s="115">
        <f>F17/1</f>
        <v>1.3</v>
      </c>
      <c r="H17" s="111" t="s">
        <v>38</v>
      </c>
      <c r="I17" s="5">
        <v>1.45</v>
      </c>
      <c r="J17" s="115">
        <f>I17/1</f>
        <v>1.45</v>
      </c>
      <c r="K17" s="111" t="s">
        <v>38</v>
      </c>
      <c r="L17" s="5">
        <v>1.56</v>
      </c>
      <c r="M17" s="115">
        <f>L17/1</f>
        <v>1.56</v>
      </c>
      <c r="N17" s="9"/>
      <c r="P17" s="111"/>
      <c r="Q17" s="116"/>
      <c r="R17" s="137"/>
      <c r="S17" s="138">
        <f t="shared" si="0"/>
        <v>0</v>
      </c>
      <c r="T17" s="138">
        <f aca="true" t="shared" si="4" ref="T17:T54">Q17*G17</f>
        <v>0</v>
      </c>
      <c r="U17" s="139">
        <f t="shared" si="2"/>
        <v>0</v>
      </c>
      <c r="V17" s="140">
        <f t="shared" si="3"/>
        <v>0</v>
      </c>
    </row>
    <row r="18" spans="1:22" s="28" customFormat="1" ht="15.75">
      <c r="A18" s="227" t="s">
        <v>188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9"/>
      <c r="P18" s="133"/>
      <c r="Q18" s="124"/>
      <c r="R18" s="137"/>
      <c r="S18" s="138">
        <f t="shared" si="0"/>
        <v>0</v>
      </c>
      <c r="T18" s="138">
        <f t="shared" si="4"/>
        <v>0</v>
      </c>
      <c r="U18" s="139">
        <f t="shared" si="2"/>
        <v>0</v>
      </c>
      <c r="V18" s="140">
        <f t="shared" si="3"/>
        <v>0</v>
      </c>
    </row>
    <row r="19" spans="1:22" s="28" customFormat="1" ht="47.25">
      <c r="A19" s="109" t="s">
        <v>253</v>
      </c>
      <c r="B19" s="111" t="s">
        <v>266</v>
      </c>
      <c r="C19" s="6">
        <v>1.45</v>
      </c>
      <c r="D19" s="54">
        <f>C19</f>
        <v>1.45</v>
      </c>
      <c r="E19" s="111" t="s">
        <v>299</v>
      </c>
      <c r="F19" s="5">
        <v>1.65</v>
      </c>
      <c r="G19" s="115">
        <f>F19/750*1000</f>
        <v>2.1999999999999997</v>
      </c>
      <c r="H19" s="111" t="s">
        <v>342</v>
      </c>
      <c r="I19" s="5">
        <v>1.09</v>
      </c>
      <c r="J19" s="115">
        <f>I19/750*1000</f>
        <v>1.4533333333333334</v>
      </c>
      <c r="K19" s="111" t="s">
        <v>374</v>
      </c>
      <c r="L19" s="5">
        <v>1.24</v>
      </c>
      <c r="M19" s="115">
        <f>L19/750*1000</f>
        <v>1.6533333333333333</v>
      </c>
      <c r="N19" s="9"/>
      <c r="P19" s="133"/>
      <c r="Q19" s="116"/>
      <c r="R19" s="137"/>
      <c r="S19" s="138">
        <f t="shared" si="0"/>
        <v>0</v>
      </c>
      <c r="T19" s="138">
        <f t="shared" si="4"/>
        <v>0</v>
      </c>
      <c r="U19" s="139">
        <f t="shared" si="2"/>
        <v>0</v>
      </c>
      <c r="V19" s="140">
        <f t="shared" si="3"/>
        <v>0</v>
      </c>
    </row>
    <row r="20" spans="1:22" s="28" customFormat="1" ht="38.25">
      <c r="A20" s="109" t="s">
        <v>254</v>
      </c>
      <c r="B20" s="111" t="s">
        <v>267</v>
      </c>
      <c r="C20" s="6">
        <v>3</v>
      </c>
      <c r="D20" s="54">
        <f>C20/5</f>
        <v>0.6</v>
      </c>
      <c r="E20" s="111" t="s">
        <v>300</v>
      </c>
      <c r="F20" s="5">
        <f>G20*5</f>
        <v>3.5</v>
      </c>
      <c r="G20" s="54">
        <v>0.7</v>
      </c>
      <c r="H20" s="111" t="s">
        <v>343</v>
      </c>
      <c r="I20" s="5">
        <v>1.3</v>
      </c>
      <c r="J20" s="115">
        <f>I20/750*1000</f>
        <v>1.7333333333333334</v>
      </c>
      <c r="K20" s="111" t="s">
        <v>375</v>
      </c>
      <c r="L20" s="5">
        <v>4.24</v>
      </c>
      <c r="M20" s="115">
        <f>L20/5</f>
        <v>0.8480000000000001</v>
      </c>
      <c r="N20" s="9"/>
      <c r="P20" s="111"/>
      <c r="Q20" s="116"/>
      <c r="R20" s="137"/>
      <c r="S20" s="138">
        <f t="shared" si="0"/>
        <v>0</v>
      </c>
      <c r="T20" s="138">
        <f t="shared" si="4"/>
        <v>0</v>
      </c>
      <c r="U20" s="139">
        <f t="shared" si="2"/>
        <v>0</v>
      </c>
      <c r="V20" s="140">
        <f t="shared" si="3"/>
        <v>0</v>
      </c>
    </row>
    <row r="21" spans="1:22" s="28" customFormat="1" ht="38.25">
      <c r="A21" s="109" t="s">
        <v>189</v>
      </c>
      <c r="B21" s="111" t="s">
        <v>268</v>
      </c>
      <c r="C21" s="6">
        <v>0.95</v>
      </c>
      <c r="D21" s="54">
        <f>C21/750*1000</f>
        <v>1.2666666666666666</v>
      </c>
      <c r="E21" s="111" t="s">
        <v>301</v>
      </c>
      <c r="F21" s="5">
        <v>0.85</v>
      </c>
      <c r="G21" s="54">
        <f>F21/750*1000</f>
        <v>1.1333333333333333</v>
      </c>
      <c r="H21" s="111" t="s">
        <v>344</v>
      </c>
      <c r="I21" s="5">
        <v>1.3</v>
      </c>
      <c r="J21" s="115">
        <f>I21/750*1000</f>
        <v>1.7333333333333334</v>
      </c>
      <c r="K21" s="111" t="s">
        <v>376</v>
      </c>
      <c r="L21" s="5">
        <v>1.12</v>
      </c>
      <c r="M21" s="115">
        <f>L21/750*1000</f>
        <v>1.4933333333333334</v>
      </c>
      <c r="N21" s="9"/>
      <c r="P21" s="111"/>
      <c r="Q21" s="116"/>
      <c r="R21" s="137"/>
      <c r="S21" s="138">
        <f t="shared" si="0"/>
        <v>0</v>
      </c>
      <c r="T21" s="138">
        <f t="shared" si="4"/>
        <v>0</v>
      </c>
      <c r="U21" s="139">
        <f t="shared" si="2"/>
        <v>0</v>
      </c>
      <c r="V21" s="140">
        <f t="shared" si="3"/>
        <v>0</v>
      </c>
    </row>
    <row r="22" spans="1:22" s="28" customFormat="1" ht="31.5">
      <c r="A22" s="109" t="s">
        <v>58</v>
      </c>
      <c r="B22" s="111" t="s">
        <v>269</v>
      </c>
      <c r="C22" s="6">
        <v>1.23</v>
      </c>
      <c r="D22" s="54">
        <f>C22/750*1000</f>
        <v>1.64</v>
      </c>
      <c r="E22" s="111" t="s">
        <v>302</v>
      </c>
      <c r="F22" s="5">
        <v>0.95</v>
      </c>
      <c r="G22" s="54">
        <f>F22/500*1000</f>
        <v>1.9</v>
      </c>
      <c r="H22" s="111" t="s">
        <v>345</v>
      </c>
      <c r="I22" s="5">
        <v>0.92</v>
      </c>
      <c r="J22" s="54">
        <f>I22/1</f>
        <v>0.92</v>
      </c>
      <c r="K22" s="111" t="s">
        <v>377</v>
      </c>
      <c r="L22" s="5">
        <v>0.93</v>
      </c>
      <c r="M22" s="54">
        <f>L22/500*1000</f>
        <v>1.86</v>
      </c>
      <c r="N22" s="9"/>
      <c r="P22" s="111"/>
      <c r="Q22" s="116"/>
      <c r="R22" s="137"/>
      <c r="S22" s="138">
        <f t="shared" si="0"/>
        <v>0</v>
      </c>
      <c r="T22" s="138">
        <f t="shared" si="4"/>
        <v>0</v>
      </c>
      <c r="U22" s="139">
        <f t="shared" si="2"/>
        <v>0</v>
      </c>
      <c r="V22" s="140">
        <f t="shared" si="3"/>
        <v>0</v>
      </c>
    </row>
    <row r="23" spans="1:22" s="28" customFormat="1" ht="29.25" customHeight="1">
      <c r="A23" s="109" t="s">
        <v>190</v>
      </c>
      <c r="B23" s="111" t="s">
        <v>270</v>
      </c>
      <c r="C23" s="6">
        <v>1.45</v>
      </c>
      <c r="D23" s="54">
        <f>C23/1</f>
        <v>1.45</v>
      </c>
      <c r="E23" s="111" t="s">
        <v>303</v>
      </c>
      <c r="F23" s="5">
        <v>1.26</v>
      </c>
      <c r="G23" s="54">
        <f>F23/750*1000</f>
        <v>1.6800000000000002</v>
      </c>
      <c r="H23" s="111" t="s">
        <v>270</v>
      </c>
      <c r="I23" s="5">
        <v>1.32</v>
      </c>
      <c r="J23" s="54">
        <f>I23/1</f>
        <v>1.32</v>
      </c>
      <c r="K23" s="111" t="s">
        <v>378</v>
      </c>
      <c r="L23" s="5">
        <v>1.36</v>
      </c>
      <c r="M23" s="54">
        <f>L23/1</f>
        <v>1.36</v>
      </c>
      <c r="N23" s="9"/>
      <c r="P23" s="111"/>
      <c r="Q23" s="116"/>
      <c r="R23" s="137"/>
      <c r="S23" s="138">
        <f t="shared" si="0"/>
        <v>0</v>
      </c>
      <c r="T23" s="138">
        <f t="shared" si="4"/>
        <v>0</v>
      </c>
      <c r="U23" s="139">
        <f t="shared" si="2"/>
        <v>0</v>
      </c>
      <c r="V23" s="140">
        <f t="shared" si="3"/>
        <v>0</v>
      </c>
    </row>
    <row r="24" spans="1:22" s="28" customFormat="1" ht="38.25">
      <c r="A24" s="109" t="s">
        <v>191</v>
      </c>
      <c r="B24" s="111" t="s">
        <v>271</v>
      </c>
      <c r="C24" s="6">
        <v>0.31</v>
      </c>
      <c r="D24" s="54">
        <f>C24/1</f>
        <v>0.31</v>
      </c>
      <c r="E24" s="111" t="s">
        <v>304</v>
      </c>
      <c r="F24" s="5">
        <v>0.33</v>
      </c>
      <c r="G24" s="54">
        <f>F24/1</f>
        <v>0.33</v>
      </c>
      <c r="H24" s="111" t="s">
        <v>346</v>
      </c>
      <c r="I24" s="5">
        <v>0.4</v>
      </c>
      <c r="J24" s="54">
        <f>I24/1</f>
        <v>0.4</v>
      </c>
      <c r="K24" s="111" t="s">
        <v>379</v>
      </c>
      <c r="L24" s="5">
        <v>0.49</v>
      </c>
      <c r="M24" s="54">
        <f>L24/1</f>
        <v>0.49</v>
      </c>
      <c r="N24" s="9"/>
      <c r="P24" s="111"/>
      <c r="Q24" s="116"/>
      <c r="R24" s="137"/>
      <c r="S24" s="138">
        <f t="shared" si="0"/>
        <v>0</v>
      </c>
      <c r="T24" s="138">
        <f t="shared" si="4"/>
        <v>0</v>
      </c>
      <c r="U24" s="139">
        <f t="shared" si="2"/>
        <v>0</v>
      </c>
      <c r="V24" s="140">
        <f t="shared" si="3"/>
        <v>0</v>
      </c>
    </row>
    <row r="25" spans="1:22" s="28" customFormat="1" ht="25.5">
      <c r="A25" s="109" t="s">
        <v>192</v>
      </c>
      <c r="B25" s="111" t="s">
        <v>272</v>
      </c>
      <c r="C25" s="6">
        <v>0.68</v>
      </c>
      <c r="D25" s="115">
        <f>C25/2</f>
        <v>0.34</v>
      </c>
      <c r="E25" s="111" t="s">
        <v>305</v>
      </c>
      <c r="F25" s="5">
        <v>1.4</v>
      </c>
      <c r="G25" s="54">
        <f>F25/4</f>
        <v>0.35</v>
      </c>
      <c r="H25" s="111" t="s">
        <v>347</v>
      </c>
      <c r="I25" s="5">
        <v>0.64</v>
      </c>
      <c r="J25" s="54">
        <f>I25/2</f>
        <v>0.32</v>
      </c>
      <c r="K25" s="111" t="s">
        <v>380</v>
      </c>
      <c r="L25" s="5">
        <v>0.67</v>
      </c>
      <c r="M25" s="54">
        <f>L25/2</f>
        <v>0.335</v>
      </c>
      <c r="N25" s="9"/>
      <c r="P25" s="111"/>
      <c r="Q25" s="116">
        <v>48</v>
      </c>
      <c r="R25" s="137"/>
      <c r="S25" s="138">
        <f t="shared" si="0"/>
        <v>16.32</v>
      </c>
      <c r="T25" s="138">
        <f t="shared" si="4"/>
        <v>16.799999999999997</v>
      </c>
      <c r="U25" s="139">
        <f t="shared" si="2"/>
        <v>15.36</v>
      </c>
      <c r="V25" s="140">
        <f t="shared" si="3"/>
        <v>16.080000000000002</v>
      </c>
    </row>
    <row r="26" spans="1:22" s="28" customFormat="1" ht="30.75" customHeight="1">
      <c r="A26" s="109" t="s">
        <v>193</v>
      </c>
      <c r="B26" s="116" t="s">
        <v>273</v>
      </c>
      <c r="C26" s="6">
        <f>D26*5</f>
        <v>18.25</v>
      </c>
      <c r="D26" s="54">
        <v>3.65</v>
      </c>
      <c r="E26" s="113" t="s">
        <v>306</v>
      </c>
      <c r="F26" s="5">
        <v>7.5</v>
      </c>
      <c r="G26" s="54">
        <f>F26/5</f>
        <v>1.5</v>
      </c>
      <c r="H26" s="113" t="s">
        <v>348</v>
      </c>
      <c r="I26" s="5">
        <v>1.82</v>
      </c>
      <c r="J26" s="54">
        <f>I26/4</f>
        <v>0.455</v>
      </c>
      <c r="K26" s="111" t="s">
        <v>379</v>
      </c>
      <c r="L26" s="5">
        <v>6.95</v>
      </c>
      <c r="M26" s="54">
        <f>L26/1</f>
        <v>6.95</v>
      </c>
      <c r="N26" s="9"/>
      <c r="P26" s="111"/>
      <c r="Q26" s="116"/>
      <c r="R26" s="137"/>
      <c r="S26" s="138">
        <f t="shared" si="0"/>
        <v>0</v>
      </c>
      <c r="T26" s="138">
        <f t="shared" si="4"/>
        <v>0</v>
      </c>
      <c r="U26" s="139">
        <f t="shared" si="2"/>
        <v>0</v>
      </c>
      <c r="V26" s="140">
        <f t="shared" si="3"/>
        <v>0</v>
      </c>
    </row>
    <row r="27" spans="1:22" s="28" customFormat="1" ht="38.25" customHeight="1">
      <c r="A27" s="227" t="s">
        <v>194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9"/>
      <c r="P27" s="111"/>
      <c r="Q27" s="116"/>
      <c r="R27" s="137"/>
      <c r="S27" s="138">
        <f t="shared" si="0"/>
        <v>0</v>
      </c>
      <c r="T27" s="138">
        <f t="shared" si="4"/>
        <v>0</v>
      </c>
      <c r="U27" s="139">
        <f t="shared" si="2"/>
        <v>0</v>
      </c>
      <c r="V27" s="140">
        <f t="shared" si="3"/>
        <v>0</v>
      </c>
    </row>
    <row r="28" spans="1:22" s="28" customFormat="1" ht="31.5">
      <c r="A28" s="109" t="s">
        <v>195</v>
      </c>
      <c r="B28" s="111" t="s">
        <v>274</v>
      </c>
      <c r="C28" s="6">
        <v>2.85</v>
      </c>
      <c r="D28" s="54">
        <f>C28/5</f>
        <v>0.5700000000000001</v>
      </c>
      <c r="E28" s="113" t="s">
        <v>307</v>
      </c>
      <c r="F28" s="5">
        <v>1.8</v>
      </c>
      <c r="G28" s="54">
        <f>F28/4</f>
        <v>0.45</v>
      </c>
      <c r="H28" s="113" t="s">
        <v>349</v>
      </c>
      <c r="I28" s="5">
        <v>2.9</v>
      </c>
      <c r="J28" s="54">
        <f>I28/5</f>
        <v>0.58</v>
      </c>
      <c r="K28" s="111" t="s">
        <v>375</v>
      </c>
      <c r="L28" s="61">
        <v>3.46</v>
      </c>
      <c r="M28" s="115">
        <f>L28/5</f>
        <v>0.692</v>
      </c>
      <c r="N28" s="9"/>
      <c r="P28" s="111"/>
      <c r="Q28" s="116"/>
      <c r="R28" s="137"/>
      <c r="S28" s="138">
        <f t="shared" si="0"/>
        <v>0</v>
      </c>
      <c r="T28" s="138">
        <f t="shared" si="4"/>
        <v>0</v>
      </c>
      <c r="U28" s="139">
        <f t="shared" si="2"/>
        <v>0</v>
      </c>
      <c r="V28" s="140">
        <f t="shared" si="3"/>
        <v>0</v>
      </c>
    </row>
    <row r="29" spans="1:22" s="28" customFormat="1" ht="31.5">
      <c r="A29" s="109" t="s">
        <v>196</v>
      </c>
      <c r="B29" s="111" t="s">
        <v>275</v>
      </c>
      <c r="C29" s="6">
        <v>5.03</v>
      </c>
      <c r="D29" s="54">
        <f>C29/5</f>
        <v>1.006</v>
      </c>
      <c r="E29" s="111" t="s">
        <v>308</v>
      </c>
      <c r="F29" s="5">
        <v>4</v>
      </c>
      <c r="G29" s="54">
        <f>F29/5</f>
        <v>0.8</v>
      </c>
      <c r="H29" s="111" t="s">
        <v>350</v>
      </c>
      <c r="I29" s="5">
        <v>4.45</v>
      </c>
      <c r="J29" s="54">
        <f>I29/5</f>
        <v>0.89</v>
      </c>
      <c r="K29" s="111" t="s">
        <v>381</v>
      </c>
      <c r="L29" s="6">
        <v>8.48</v>
      </c>
      <c r="M29" s="115">
        <f>L29/5</f>
        <v>1.6960000000000002</v>
      </c>
      <c r="N29" s="9"/>
      <c r="P29" s="111"/>
      <c r="Q29" s="116"/>
      <c r="R29" s="137"/>
      <c r="S29" s="138">
        <f t="shared" si="0"/>
        <v>0</v>
      </c>
      <c r="T29" s="138">
        <f t="shared" si="4"/>
        <v>0</v>
      </c>
      <c r="U29" s="139">
        <f t="shared" si="2"/>
        <v>0</v>
      </c>
      <c r="V29" s="140">
        <f t="shared" si="3"/>
        <v>0</v>
      </c>
    </row>
    <row r="30" spans="1:22" s="28" customFormat="1" ht="47.25">
      <c r="A30" s="109" t="s">
        <v>197</v>
      </c>
      <c r="B30" s="111" t="s">
        <v>276</v>
      </c>
      <c r="C30" s="6">
        <v>1.7</v>
      </c>
      <c r="D30" s="54">
        <f>C30/750*1000</f>
        <v>2.2666666666666666</v>
      </c>
      <c r="E30" s="111" t="s">
        <v>309</v>
      </c>
      <c r="F30" s="5">
        <v>1.2</v>
      </c>
      <c r="G30" s="54">
        <f>F30/750*1000</f>
        <v>1.5999999999999999</v>
      </c>
      <c r="H30" s="111" t="s">
        <v>351</v>
      </c>
      <c r="I30" s="5">
        <v>1.09</v>
      </c>
      <c r="J30" s="54">
        <f>I30/750*1000</f>
        <v>1.4533333333333334</v>
      </c>
      <c r="K30" s="111" t="s">
        <v>376</v>
      </c>
      <c r="L30" s="6">
        <v>1.33</v>
      </c>
      <c r="M30" s="54">
        <f>L30/750*1000</f>
        <v>1.7733333333333334</v>
      </c>
      <c r="N30" s="29"/>
      <c r="P30" s="111"/>
      <c r="Q30" s="116">
        <v>18</v>
      </c>
      <c r="R30" s="137"/>
      <c r="S30" s="138">
        <f t="shared" si="0"/>
        <v>40.8</v>
      </c>
      <c r="T30" s="138">
        <f t="shared" si="4"/>
        <v>28.799999999999997</v>
      </c>
      <c r="U30" s="139">
        <f t="shared" si="2"/>
        <v>26.16</v>
      </c>
      <c r="V30" s="140">
        <f t="shared" si="3"/>
        <v>31.92</v>
      </c>
    </row>
    <row r="31" spans="1:22" s="28" customFormat="1" ht="31.5">
      <c r="A31" s="109" t="s">
        <v>198</v>
      </c>
      <c r="B31" s="111" t="s">
        <v>277</v>
      </c>
      <c r="C31" s="7">
        <v>1.03</v>
      </c>
      <c r="D31" s="54">
        <f>C31/750*1000</f>
        <v>1.3733333333333333</v>
      </c>
      <c r="E31" s="111" t="s">
        <v>310</v>
      </c>
      <c r="F31" s="5">
        <v>1.2</v>
      </c>
      <c r="G31" s="54">
        <f>F31/750*1000</f>
        <v>1.5999999999999999</v>
      </c>
      <c r="H31" s="111" t="s">
        <v>352</v>
      </c>
      <c r="I31" s="5">
        <v>0.95</v>
      </c>
      <c r="J31" s="54">
        <f>I31/750*1000</f>
        <v>1.2666666666666666</v>
      </c>
      <c r="K31" s="111" t="s">
        <v>376</v>
      </c>
      <c r="L31" s="5">
        <v>0.89</v>
      </c>
      <c r="M31" s="54">
        <f>L31/750*1000</f>
        <v>1.1866666666666665</v>
      </c>
      <c r="N31" s="29"/>
      <c r="P31" s="116"/>
      <c r="Q31" s="116"/>
      <c r="R31" s="137"/>
      <c r="S31" s="138">
        <f t="shared" si="0"/>
        <v>0</v>
      </c>
      <c r="T31" s="138">
        <f t="shared" si="4"/>
        <v>0</v>
      </c>
      <c r="U31" s="139">
        <f t="shared" si="2"/>
        <v>0</v>
      </c>
      <c r="V31" s="140">
        <f t="shared" si="3"/>
        <v>0</v>
      </c>
    </row>
    <row r="32" spans="1:22" s="28" customFormat="1" ht="31.5">
      <c r="A32" s="109" t="s">
        <v>255</v>
      </c>
      <c r="B32" s="111" t="s">
        <v>278</v>
      </c>
      <c r="C32" s="7">
        <v>3.68</v>
      </c>
      <c r="D32" s="117">
        <f>C32/5</f>
        <v>0.736</v>
      </c>
      <c r="E32" s="111" t="s">
        <v>311</v>
      </c>
      <c r="F32" s="5">
        <v>4.5</v>
      </c>
      <c r="G32" s="54">
        <f>F32/5</f>
        <v>0.9</v>
      </c>
      <c r="H32" s="111" t="s">
        <v>353</v>
      </c>
      <c r="I32" s="5">
        <v>3.15</v>
      </c>
      <c r="J32" s="54">
        <f>I32/5</f>
        <v>0.63</v>
      </c>
      <c r="K32" s="111" t="s">
        <v>381</v>
      </c>
      <c r="L32" s="6">
        <v>3.78</v>
      </c>
      <c r="M32" s="115">
        <f>L32/5</f>
        <v>0.756</v>
      </c>
      <c r="P32" s="111"/>
      <c r="Q32" s="116"/>
      <c r="R32" s="137"/>
      <c r="S32" s="138">
        <f t="shared" si="0"/>
        <v>0</v>
      </c>
      <c r="T32" s="138">
        <f t="shared" si="4"/>
        <v>0</v>
      </c>
      <c r="U32" s="139">
        <f t="shared" si="2"/>
        <v>0</v>
      </c>
      <c r="V32" s="140">
        <f t="shared" si="3"/>
        <v>0</v>
      </c>
    </row>
    <row r="33" spans="1:22" s="28" customFormat="1" ht="38.25">
      <c r="A33" s="109" t="s">
        <v>199</v>
      </c>
      <c r="B33" s="111" t="s">
        <v>279</v>
      </c>
      <c r="C33" s="7">
        <v>6.95</v>
      </c>
      <c r="D33" s="117">
        <f>C33/5</f>
        <v>1.3900000000000001</v>
      </c>
      <c r="E33" s="111" t="s">
        <v>312</v>
      </c>
      <c r="F33" s="5">
        <v>7.5</v>
      </c>
      <c r="G33" s="54">
        <f>F33/5</f>
        <v>1.5</v>
      </c>
      <c r="H33" s="111" t="s">
        <v>354</v>
      </c>
      <c r="I33" s="5">
        <v>3</v>
      </c>
      <c r="J33" s="54">
        <f>I33/4</f>
        <v>0.75</v>
      </c>
      <c r="K33" s="111" t="s">
        <v>375</v>
      </c>
      <c r="L33" s="61">
        <v>8.48</v>
      </c>
      <c r="M33" s="115">
        <f>L33/5</f>
        <v>1.6960000000000002</v>
      </c>
      <c r="P33" s="140"/>
      <c r="Q33" s="116"/>
      <c r="R33" s="137"/>
      <c r="S33" s="138">
        <f t="shared" si="0"/>
        <v>0</v>
      </c>
      <c r="T33" s="138">
        <f t="shared" si="4"/>
        <v>0</v>
      </c>
      <c r="U33" s="139">
        <f t="shared" si="2"/>
        <v>0</v>
      </c>
      <c r="V33" s="140">
        <f t="shared" si="3"/>
        <v>0</v>
      </c>
    </row>
    <row r="34" spans="1:22" s="28" customFormat="1" ht="38.25">
      <c r="A34" s="109" t="s">
        <v>200</v>
      </c>
      <c r="B34" s="111" t="s">
        <v>280</v>
      </c>
      <c r="C34" s="7">
        <v>1.73</v>
      </c>
      <c r="D34" s="118">
        <f>C34/750*1000</f>
        <v>2.3066666666666666</v>
      </c>
      <c r="E34" s="111" t="s">
        <v>313</v>
      </c>
      <c r="F34" s="5">
        <v>2.2</v>
      </c>
      <c r="G34" s="54">
        <f>F34/300*1000</f>
        <v>7.333333333333334</v>
      </c>
      <c r="H34" s="111" t="s">
        <v>355</v>
      </c>
      <c r="I34" s="5">
        <v>1.1</v>
      </c>
      <c r="J34" s="54">
        <f>I34/300*1000</f>
        <v>3.666666666666667</v>
      </c>
      <c r="K34" s="111" t="s">
        <v>382</v>
      </c>
      <c r="L34" s="5">
        <v>4.92</v>
      </c>
      <c r="M34" s="115">
        <f>L34/750*1000</f>
        <v>6.56</v>
      </c>
      <c r="P34" s="140"/>
      <c r="Q34" s="116"/>
      <c r="R34" s="137"/>
      <c r="S34" s="138">
        <f t="shared" si="0"/>
        <v>0</v>
      </c>
      <c r="T34" s="138">
        <f t="shared" si="4"/>
        <v>0</v>
      </c>
      <c r="U34" s="139">
        <f t="shared" si="2"/>
        <v>0</v>
      </c>
      <c r="V34" s="140">
        <f t="shared" si="3"/>
        <v>0</v>
      </c>
    </row>
    <row r="35" spans="1:22" s="28" customFormat="1" ht="15.75">
      <c r="A35" s="227" t="s">
        <v>201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P35" s="116"/>
      <c r="Q35" s="116"/>
      <c r="R35" s="137"/>
      <c r="S35" s="138">
        <f t="shared" si="0"/>
        <v>0</v>
      </c>
      <c r="T35" s="138">
        <f t="shared" si="4"/>
        <v>0</v>
      </c>
      <c r="U35" s="139">
        <f t="shared" si="2"/>
        <v>0</v>
      </c>
      <c r="V35" s="140">
        <f t="shared" si="3"/>
        <v>0</v>
      </c>
    </row>
    <row r="36" spans="1:22" s="28" customFormat="1" ht="25.5">
      <c r="A36" s="109" t="s">
        <v>202</v>
      </c>
      <c r="B36" s="111" t="s">
        <v>281</v>
      </c>
      <c r="C36" s="7">
        <v>2.99</v>
      </c>
      <c r="D36" s="117">
        <f>C36/5</f>
        <v>0.5980000000000001</v>
      </c>
      <c r="E36" s="111" t="s">
        <v>314</v>
      </c>
      <c r="F36" s="5">
        <f>G36*4</f>
        <v>1.84</v>
      </c>
      <c r="G36" s="54">
        <v>0.46</v>
      </c>
      <c r="H36" s="111" t="s">
        <v>356</v>
      </c>
      <c r="I36" s="5">
        <v>2.6</v>
      </c>
      <c r="J36" s="54">
        <f>I36/5</f>
        <v>0.52</v>
      </c>
      <c r="K36" s="111" t="s">
        <v>375</v>
      </c>
      <c r="L36" s="61">
        <v>3.1</v>
      </c>
      <c r="M36" s="115">
        <f>L36/5</f>
        <v>0.62</v>
      </c>
      <c r="P36" s="140"/>
      <c r="Q36" s="116"/>
      <c r="R36" s="137"/>
      <c r="S36" s="138">
        <f t="shared" si="0"/>
        <v>0</v>
      </c>
      <c r="T36" s="138">
        <f t="shared" si="4"/>
        <v>0</v>
      </c>
      <c r="U36" s="139">
        <f t="shared" si="2"/>
        <v>0</v>
      </c>
      <c r="V36" s="140">
        <f t="shared" si="3"/>
        <v>0</v>
      </c>
    </row>
    <row r="37" spans="1:22" s="28" customFormat="1" ht="31.5">
      <c r="A37" s="109" t="s">
        <v>256</v>
      </c>
      <c r="B37" s="111" t="s">
        <v>282</v>
      </c>
      <c r="C37" s="7">
        <v>18.1</v>
      </c>
      <c r="D37" s="117">
        <f>C37/12</f>
        <v>1.5083333333333335</v>
      </c>
      <c r="E37" s="116" t="s">
        <v>315</v>
      </c>
      <c r="F37" s="5">
        <v>12</v>
      </c>
      <c r="G37" s="54">
        <f>F37/12</f>
        <v>1</v>
      </c>
      <c r="H37" s="111" t="s">
        <v>357</v>
      </c>
      <c r="I37" s="5">
        <v>12.5</v>
      </c>
      <c r="J37" s="54">
        <f>I37/12</f>
        <v>1.0416666666666667</v>
      </c>
      <c r="K37" s="111" t="s">
        <v>381</v>
      </c>
      <c r="L37" s="6">
        <v>6.3</v>
      </c>
      <c r="M37" s="115">
        <f>L37/5</f>
        <v>1.26</v>
      </c>
      <c r="P37" s="140"/>
      <c r="Q37" s="116"/>
      <c r="R37" s="137"/>
      <c r="S37" s="138">
        <f t="shared" si="0"/>
        <v>0</v>
      </c>
      <c r="T37" s="138">
        <f t="shared" si="4"/>
        <v>0</v>
      </c>
      <c r="U37" s="139">
        <f t="shared" si="2"/>
        <v>0</v>
      </c>
      <c r="V37" s="140">
        <f t="shared" si="3"/>
        <v>0</v>
      </c>
    </row>
    <row r="38" spans="1:22" s="28" customFormat="1" ht="31.5">
      <c r="A38" s="109" t="s">
        <v>257</v>
      </c>
      <c r="B38" s="111" t="s">
        <v>283</v>
      </c>
      <c r="C38" s="7">
        <v>14.1</v>
      </c>
      <c r="D38" s="117">
        <f>C38/10</f>
        <v>1.41</v>
      </c>
      <c r="E38" s="116" t="s">
        <v>316</v>
      </c>
      <c r="F38" s="5">
        <v>13</v>
      </c>
      <c r="G38" s="54">
        <f>F38/10</f>
        <v>1.3</v>
      </c>
      <c r="H38" s="111" t="s">
        <v>358</v>
      </c>
      <c r="I38" s="5">
        <v>13.8</v>
      </c>
      <c r="J38" s="54">
        <f>I38/12</f>
        <v>1.1500000000000001</v>
      </c>
      <c r="K38" s="111" t="s">
        <v>381</v>
      </c>
      <c r="L38" s="6">
        <v>5.25</v>
      </c>
      <c r="M38" s="115">
        <f>L38/5</f>
        <v>1.05</v>
      </c>
      <c r="P38" s="116"/>
      <c r="Q38" s="116"/>
      <c r="R38" s="137"/>
      <c r="S38" s="138">
        <f t="shared" si="0"/>
        <v>0</v>
      </c>
      <c r="T38" s="138">
        <f t="shared" si="4"/>
        <v>0</v>
      </c>
      <c r="U38" s="139">
        <f t="shared" si="2"/>
        <v>0</v>
      </c>
      <c r="V38" s="140">
        <f t="shared" si="3"/>
        <v>0</v>
      </c>
    </row>
    <row r="39" spans="1:22" s="28" customFormat="1" ht="30.75" customHeight="1">
      <c r="A39" s="109" t="s">
        <v>203</v>
      </c>
      <c r="B39" s="111" t="s">
        <v>284</v>
      </c>
      <c r="C39" s="7">
        <v>2.15</v>
      </c>
      <c r="D39" s="117">
        <f>C39/750*1000</f>
        <v>2.8666666666666667</v>
      </c>
      <c r="E39" s="111" t="s">
        <v>317</v>
      </c>
      <c r="F39" s="5">
        <v>1.5</v>
      </c>
      <c r="G39" s="54">
        <f>F39/500*1000</f>
        <v>3</v>
      </c>
      <c r="H39" s="129" t="s">
        <v>359</v>
      </c>
      <c r="I39" s="5">
        <v>1.89</v>
      </c>
      <c r="J39" s="54">
        <f>I39/1</f>
        <v>1.89</v>
      </c>
      <c r="K39" s="111" t="s">
        <v>383</v>
      </c>
      <c r="L39" s="5">
        <v>0.89</v>
      </c>
      <c r="M39" s="115">
        <f>L39/750*1000</f>
        <v>1.1866666666666665</v>
      </c>
      <c r="P39" s="140"/>
      <c r="Q39" s="116"/>
      <c r="R39" s="137"/>
      <c r="S39" s="138">
        <f aca="true" t="shared" si="5" ref="S39:S70">Q39*D39</f>
        <v>0</v>
      </c>
      <c r="T39" s="138">
        <f t="shared" si="4"/>
        <v>0</v>
      </c>
      <c r="U39" s="139">
        <f aca="true" t="shared" si="6" ref="U39:U70">Q39*J39</f>
        <v>0</v>
      </c>
      <c r="V39" s="140">
        <f aca="true" t="shared" si="7" ref="V39:V70">Q39*M39</f>
        <v>0</v>
      </c>
    </row>
    <row r="40" spans="1:22" s="28" customFormat="1" ht="38.25">
      <c r="A40" s="109" t="s">
        <v>204</v>
      </c>
      <c r="B40" s="111" t="s">
        <v>285</v>
      </c>
      <c r="C40" s="7">
        <v>4.25</v>
      </c>
      <c r="D40" s="117">
        <f>C40/4</f>
        <v>1.0625</v>
      </c>
      <c r="E40" s="111" t="s">
        <v>318</v>
      </c>
      <c r="F40" s="5">
        <v>5</v>
      </c>
      <c r="G40" s="54">
        <f>F40/5</f>
        <v>1</v>
      </c>
      <c r="H40" s="111" t="s">
        <v>360</v>
      </c>
      <c r="I40" s="5">
        <v>2.39</v>
      </c>
      <c r="J40" s="54">
        <f>I40/4</f>
        <v>0.5975</v>
      </c>
      <c r="K40" s="111" t="s">
        <v>384</v>
      </c>
      <c r="L40" s="5">
        <v>3.39</v>
      </c>
      <c r="M40" s="54">
        <f>L40/3</f>
        <v>1.1300000000000001</v>
      </c>
      <c r="P40" s="140"/>
      <c r="Q40" s="116"/>
      <c r="R40" s="137"/>
      <c r="S40" s="138">
        <f t="shared" si="5"/>
        <v>0</v>
      </c>
      <c r="T40" s="138">
        <f t="shared" si="4"/>
        <v>0</v>
      </c>
      <c r="U40" s="139">
        <f t="shared" si="6"/>
        <v>0</v>
      </c>
      <c r="V40" s="140">
        <f t="shared" si="7"/>
        <v>0</v>
      </c>
    </row>
    <row r="41" spans="1:22" s="28" customFormat="1" ht="25.5">
      <c r="A41" s="109" t="s">
        <v>258</v>
      </c>
      <c r="B41" s="111" t="s">
        <v>286</v>
      </c>
      <c r="C41" s="7">
        <f>D41*20</f>
        <v>25</v>
      </c>
      <c r="D41" s="117">
        <v>1.25</v>
      </c>
      <c r="E41" s="111" t="s">
        <v>319</v>
      </c>
      <c r="F41" s="5">
        <f>G41*5.538</f>
        <v>8.030100000000001</v>
      </c>
      <c r="G41" s="54">
        <v>1.45</v>
      </c>
      <c r="H41" s="129" t="s">
        <v>361</v>
      </c>
      <c r="I41" s="5">
        <v>0.79</v>
      </c>
      <c r="J41" s="54">
        <f>I41/1</f>
        <v>0.79</v>
      </c>
      <c r="K41" s="113" t="s">
        <v>385</v>
      </c>
      <c r="L41" s="5">
        <v>10.65</v>
      </c>
      <c r="M41" s="54">
        <f>L41/8</f>
        <v>1.33125</v>
      </c>
      <c r="P41" s="140"/>
      <c r="Q41" s="116"/>
      <c r="R41" s="137"/>
      <c r="S41" s="138">
        <f t="shared" si="5"/>
        <v>0</v>
      </c>
      <c r="T41" s="138">
        <f t="shared" si="4"/>
        <v>0</v>
      </c>
      <c r="U41" s="139">
        <f t="shared" si="6"/>
        <v>0</v>
      </c>
      <c r="V41" s="140">
        <f t="shared" si="7"/>
        <v>0</v>
      </c>
    </row>
    <row r="42" spans="1:22" s="28" customFormat="1" ht="38.25">
      <c r="A42" s="109" t="s">
        <v>205</v>
      </c>
      <c r="B42" s="111" t="s">
        <v>287</v>
      </c>
      <c r="C42" s="7">
        <f>D42*5.1</f>
        <v>6.119999999999999</v>
      </c>
      <c r="D42" s="117">
        <v>1.2</v>
      </c>
      <c r="E42" s="111" t="s">
        <v>320</v>
      </c>
      <c r="F42" s="5">
        <v>1</v>
      </c>
      <c r="G42" s="54">
        <f>F42/600*1000</f>
        <v>1.6666666666666667</v>
      </c>
      <c r="H42" s="111" t="s">
        <v>362</v>
      </c>
      <c r="I42" s="5">
        <v>1.99</v>
      </c>
      <c r="J42" s="54">
        <f>I42/1</f>
        <v>1.99</v>
      </c>
      <c r="K42" s="111" t="s">
        <v>386</v>
      </c>
      <c r="L42" s="5">
        <v>0.56</v>
      </c>
      <c r="M42" s="54">
        <f>L42/260*1000</f>
        <v>2.153846153846154</v>
      </c>
      <c r="P42" s="140"/>
      <c r="Q42" s="116"/>
      <c r="R42" s="137"/>
      <c r="S42" s="138">
        <f t="shared" si="5"/>
        <v>0</v>
      </c>
      <c r="T42" s="138">
        <f t="shared" si="4"/>
        <v>0</v>
      </c>
      <c r="U42" s="139">
        <f t="shared" si="6"/>
        <v>0</v>
      </c>
      <c r="V42" s="140">
        <f t="shared" si="7"/>
        <v>0</v>
      </c>
    </row>
    <row r="43" spans="1:22" s="28" customFormat="1" ht="15.75">
      <c r="A43" s="227" t="s">
        <v>206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P43" s="140"/>
      <c r="Q43" s="116"/>
      <c r="R43" s="137"/>
      <c r="S43" s="138">
        <f t="shared" si="5"/>
        <v>0</v>
      </c>
      <c r="T43" s="138">
        <f t="shared" si="4"/>
        <v>0</v>
      </c>
      <c r="U43" s="139">
        <f t="shared" si="6"/>
        <v>0</v>
      </c>
      <c r="V43" s="140">
        <f t="shared" si="7"/>
        <v>0</v>
      </c>
    </row>
    <row r="44" spans="1:22" s="28" customFormat="1" ht="15.75">
      <c r="A44" s="109" t="s">
        <v>61</v>
      </c>
      <c r="B44" s="111" t="s">
        <v>33</v>
      </c>
      <c r="C44" s="7">
        <v>0.49</v>
      </c>
      <c r="D44" s="117">
        <f>C44/1</f>
        <v>0.49</v>
      </c>
      <c r="E44" s="124" t="s">
        <v>322</v>
      </c>
      <c r="F44" s="125">
        <v>0.55</v>
      </c>
      <c r="G44" s="126">
        <f>F44/1</f>
        <v>0.55</v>
      </c>
      <c r="H44" s="124" t="s">
        <v>33</v>
      </c>
      <c r="I44" s="125">
        <v>0.55</v>
      </c>
      <c r="J44" s="126">
        <f>I44/1</f>
        <v>0.55</v>
      </c>
      <c r="K44" s="124" t="s">
        <v>387</v>
      </c>
      <c r="L44" s="125">
        <v>0.42</v>
      </c>
      <c r="M44" s="126">
        <f>L44/1</f>
        <v>0.42</v>
      </c>
      <c r="P44" s="140"/>
      <c r="Q44" s="116"/>
      <c r="R44" s="137"/>
      <c r="S44" s="138">
        <f t="shared" si="5"/>
        <v>0</v>
      </c>
      <c r="T44" s="138">
        <f t="shared" si="4"/>
        <v>0</v>
      </c>
      <c r="U44" s="139">
        <f t="shared" si="6"/>
        <v>0</v>
      </c>
      <c r="V44" s="140">
        <f t="shared" si="7"/>
        <v>0</v>
      </c>
    </row>
    <row r="45" spans="1:22" s="28" customFormat="1" ht="15.75">
      <c r="A45" s="109" t="s">
        <v>207</v>
      </c>
      <c r="B45" s="111" t="s">
        <v>288</v>
      </c>
      <c r="C45" s="7">
        <v>2.98</v>
      </c>
      <c r="D45" s="117">
        <f>C45/100</f>
        <v>0.0298</v>
      </c>
      <c r="E45" s="116" t="s">
        <v>323</v>
      </c>
      <c r="F45" s="5">
        <v>4</v>
      </c>
      <c r="G45" s="54">
        <f>F45/100</f>
        <v>0.04</v>
      </c>
      <c r="H45" s="116" t="s">
        <v>288</v>
      </c>
      <c r="I45" s="5">
        <v>4.4</v>
      </c>
      <c r="J45" s="54">
        <f>I45/100</f>
        <v>0.044000000000000004</v>
      </c>
      <c r="K45" s="116" t="s">
        <v>388</v>
      </c>
      <c r="L45" s="5">
        <v>3.77</v>
      </c>
      <c r="M45" s="115">
        <f>L45/100</f>
        <v>0.0377</v>
      </c>
      <c r="P45" s="133"/>
      <c r="Q45" s="116"/>
      <c r="R45" s="137"/>
      <c r="S45" s="138">
        <f t="shared" si="5"/>
        <v>0</v>
      </c>
      <c r="T45" s="138">
        <f t="shared" si="4"/>
        <v>0</v>
      </c>
      <c r="U45" s="141">
        <f t="shared" si="6"/>
        <v>0</v>
      </c>
      <c r="V45" s="140">
        <f t="shared" si="7"/>
        <v>0</v>
      </c>
    </row>
    <row r="46" spans="1:22" s="28" customFormat="1" ht="15.75">
      <c r="A46" s="109" t="s">
        <v>208</v>
      </c>
      <c r="B46" s="111" t="s">
        <v>93</v>
      </c>
      <c r="C46" s="7">
        <v>0.35</v>
      </c>
      <c r="D46" s="117">
        <f>C46/3</f>
        <v>0.11666666666666665</v>
      </c>
      <c r="E46" s="116" t="s">
        <v>93</v>
      </c>
      <c r="F46" s="54">
        <f>G46*3</f>
        <v>0.5549999999999999</v>
      </c>
      <c r="G46" s="54">
        <v>0.185</v>
      </c>
      <c r="H46" s="116" t="s">
        <v>93</v>
      </c>
      <c r="I46" s="54">
        <v>0.49</v>
      </c>
      <c r="J46" s="54">
        <f>I46/3</f>
        <v>0.16333333333333333</v>
      </c>
      <c r="K46" s="116" t="s">
        <v>93</v>
      </c>
      <c r="L46" s="54">
        <v>0.6</v>
      </c>
      <c r="M46" s="54">
        <f>L46/3</f>
        <v>0.19999999999999998</v>
      </c>
      <c r="P46" s="140"/>
      <c r="Q46" s="116"/>
      <c r="R46" s="137"/>
      <c r="S46" s="138">
        <f t="shared" si="5"/>
        <v>0</v>
      </c>
      <c r="T46" s="138">
        <f t="shared" si="4"/>
        <v>0</v>
      </c>
      <c r="U46" s="139">
        <f t="shared" si="6"/>
        <v>0</v>
      </c>
      <c r="V46" s="140">
        <f t="shared" si="7"/>
        <v>0</v>
      </c>
    </row>
    <row r="47" spans="1:22" s="28" customFormat="1" ht="15.75">
      <c r="A47" s="109" t="s">
        <v>209</v>
      </c>
      <c r="B47" s="111" t="s">
        <v>93</v>
      </c>
      <c r="C47" s="7">
        <v>0.8</v>
      </c>
      <c r="D47" s="117">
        <f>C47/3</f>
        <v>0.26666666666666666</v>
      </c>
      <c r="E47" s="104" t="s">
        <v>93</v>
      </c>
      <c r="F47" s="54">
        <f>G47*3</f>
        <v>0.5700000000000001</v>
      </c>
      <c r="G47" s="54">
        <v>0.19</v>
      </c>
      <c r="H47" s="104" t="s">
        <v>35</v>
      </c>
      <c r="I47" s="54">
        <v>1.3</v>
      </c>
      <c r="J47" s="54">
        <f>I47/5</f>
        <v>0.26</v>
      </c>
      <c r="K47" s="104" t="s">
        <v>36</v>
      </c>
      <c r="L47" s="54">
        <v>2.9</v>
      </c>
      <c r="M47" s="54">
        <f>L47/10</f>
        <v>0.29</v>
      </c>
      <c r="P47" s="140"/>
      <c r="Q47" s="116"/>
      <c r="R47" s="137"/>
      <c r="S47" s="138">
        <f t="shared" si="5"/>
        <v>0</v>
      </c>
      <c r="T47" s="138">
        <f t="shared" si="4"/>
        <v>0</v>
      </c>
      <c r="U47" s="139">
        <f t="shared" si="6"/>
        <v>0</v>
      </c>
      <c r="V47" s="140">
        <f t="shared" si="7"/>
        <v>0</v>
      </c>
    </row>
    <row r="48" spans="1:22" s="28" customFormat="1" ht="31.5">
      <c r="A48" s="109" t="s">
        <v>210</v>
      </c>
      <c r="B48" s="111" t="s">
        <v>36</v>
      </c>
      <c r="C48" s="7">
        <v>4.5</v>
      </c>
      <c r="D48" s="117">
        <f>C48/10</f>
        <v>0.45</v>
      </c>
      <c r="E48" s="116" t="s">
        <v>324</v>
      </c>
      <c r="F48" s="54">
        <f>G48*4</f>
        <v>3.2</v>
      </c>
      <c r="G48" s="54">
        <v>0.8</v>
      </c>
      <c r="H48" s="116" t="s">
        <v>363</v>
      </c>
      <c r="I48" s="54">
        <v>0.99</v>
      </c>
      <c r="J48" s="54">
        <f>I48/2</f>
        <v>0.495</v>
      </c>
      <c r="K48" s="104" t="s">
        <v>36</v>
      </c>
      <c r="L48" s="54">
        <v>5.7</v>
      </c>
      <c r="M48" s="54">
        <f>L48/10</f>
        <v>0.5700000000000001</v>
      </c>
      <c r="P48" s="111"/>
      <c r="Q48" s="116"/>
      <c r="R48" s="137"/>
      <c r="S48" s="138">
        <f t="shared" si="5"/>
        <v>0</v>
      </c>
      <c r="T48" s="138">
        <f t="shared" si="4"/>
        <v>0</v>
      </c>
      <c r="U48" s="139">
        <f t="shared" si="6"/>
        <v>0</v>
      </c>
      <c r="V48" s="140">
        <f t="shared" si="7"/>
        <v>0</v>
      </c>
    </row>
    <row r="49" spans="1:22" s="28" customFormat="1" ht="15.75">
      <c r="A49" s="109" t="s">
        <v>211</v>
      </c>
      <c r="B49" s="111" t="s">
        <v>38</v>
      </c>
      <c r="C49" s="7">
        <v>0.4</v>
      </c>
      <c r="D49" s="117">
        <f>C49/1</f>
        <v>0.4</v>
      </c>
      <c r="E49" s="111" t="s">
        <v>152</v>
      </c>
      <c r="F49" s="54">
        <f>G49*2</f>
        <v>0.574</v>
      </c>
      <c r="G49" s="54">
        <v>0.287</v>
      </c>
      <c r="H49" s="111" t="s">
        <v>38</v>
      </c>
      <c r="I49" s="54">
        <v>0.55</v>
      </c>
      <c r="J49" s="54">
        <f>I49/1</f>
        <v>0.55</v>
      </c>
      <c r="K49" s="104" t="s">
        <v>37</v>
      </c>
      <c r="L49" s="54">
        <v>8.75</v>
      </c>
      <c r="M49" s="54">
        <f>L49/25</f>
        <v>0.35</v>
      </c>
      <c r="P49" s="140"/>
      <c r="Q49" s="116"/>
      <c r="R49" s="137"/>
      <c r="S49" s="138">
        <f t="shared" si="5"/>
        <v>0</v>
      </c>
      <c r="T49" s="138">
        <f t="shared" si="4"/>
        <v>0</v>
      </c>
      <c r="U49" s="139">
        <f t="shared" si="6"/>
        <v>0</v>
      </c>
      <c r="V49" s="140">
        <f t="shared" si="7"/>
        <v>0</v>
      </c>
    </row>
    <row r="50" spans="1:22" ht="15.75">
      <c r="A50" s="109" t="s">
        <v>212</v>
      </c>
      <c r="B50" s="111" t="s">
        <v>288</v>
      </c>
      <c r="C50" s="30">
        <v>2.95</v>
      </c>
      <c r="D50" s="119">
        <f>C50/100</f>
        <v>0.029500000000000002</v>
      </c>
      <c r="E50" s="116" t="s">
        <v>325</v>
      </c>
      <c r="F50" s="5">
        <v>2.8</v>
      </c>
      <c r="G50" s="54">
        <f>F50/100</f>
        <v>0.027999999999999997</v>
      </c>
      <c r="H50" s="116" t="s">
        <v>288</v>
      </c>
      <c r="I50" s="5">
        <v>3.7</v>
      </c>
      <c r="J50" s="54">
        <f>I50/100</f>
        <v>0.037000000000000005</v>
      </c>
      <c r="K50" s="104" t="s">
        <v>36</v>
      </c>
      <c r="L50" s="54">
        <v>11.3</v>
      </c>
      <c r="M50" s="54">
        <f>L50/10</f>
        <v>1.1300000000000001</v>
      </c>
      <c r="P50" s="140"/>
      <c r="Q50" s="140"/>
      <c r="R50" s="137"/>
      <c r="S50" s="138">
        <f t="shared" si="5"/>
        <v>0</v>
      </c>
      <c r="T50" s="138">
        <f t="shared" si="4"/>
        <v>0</v>
      </c>
      <c r="U50" s="139">
        <f t="shared" si="6"/>
        <v>0</v>
      </c>
      <c r="V50" s="140">
        <f t="shared" si="7"/>
        <v>0</v>
      </c>
    </row>
    <row r="51" spans="1:22" ht="25.5">
      <c r="A51" s="109" t="s">
        <v>12</v>
      </c>
      <c r="B51" s="111" t="s">
        <v>38</v>
      </c>
      <c r="C51" s="5">
        <v>0.98</v>
      </c>
      <c r="D51" s="117">
        <f>C51/1</f>
        <v>0.98</v>
      </c>
      <c r="E51" s="116" t="s">
        <v>38</v>
      </c>
      <c r="F51" s="5">
        <v>1.6</v>
      </c>
      <c r="G51" s="54">
        <f>F51/1</f>
        <v>1.6</v>
      </c>
      <c r="H51" s="116" t="s">
        <v>38</v>
      </c>
      <c r="I51" s="5">
        <v>0.9</v>
      </c>
      <c r="J51" s="54">
        <f aca="true" t="shared" si="8" ref="J51:J85">I51/1</f>
        <v>0.9</v>
      </c>
      <c r="K51" s="104" t="s">
        <v>389</v>
      </c>
      <c r="L51" s="54">
        <v>10.77</v>
      </c>
      <c r="M51" s="54">
        <f>L51/100</f>
        <v>0.10769999999999999</v>
      </c>
      <c r="P51" s="140"/>
      <c r="Q51" s="140"/>
      <c r="R51" s="137"/>
      <c r="S51" s="138">
        <f t="shared" si="5"/>
        <v>0</v>
      </c>
      <c r="T51" s="138">
        <f t="shared" si="4"/>
        <v>0</v>
      </c>
      <c r="U51" s="139">
        <f t="shared" si="6"/>
        <v>0</v>
      </c>
      <c r="V51" s="140">
        <f t="shared" si="7"/>
        <v>0</v>
      </c>
    </row>
    <row r="52" spans="1:22" ht="15.75">
      <c r="A52" s="109" t="s">
        <v>213</v>
      </c>
      <c r="B52" s="111" t="s">
        <v>36</v>
      </c>
      <c r="C52" s="30">
        <v>7.55</v>
      </c>
      <c r="D52" s="117">
        <f>C52/10</f>
        <v>0.755</v>
      </c>
      <c r="E52" s="111" t="s">
        <v>93</v>
      </c>
      <c r="F52" s="5">
        <v>2.4</v>
      </c>
      <c r="G52" s="54">
        <f>F52/3</f>
        <v>0.7999999999999999</v>
      </c>
      <c r="H52" s="111" t="s">
        <v>38</v>
      </c>
      <c r="I52" s="5">
        <v>0.65</v>
      </c>
      <c r="J52" s="54">
        <f t="shared" si="8"/>
        <v>0.65</v>
      </c>
      <c r="K52" s="104" t="s">
        <v>36</v>
      </c>
      <c r="L52" s="54">
        <v>6.8</v>
      </c>
      <c r="M52" s="54">
        <f>L52/10</f>
        <v>0.6799999999999999</v>
      </c>
      <c r="P52" s="140"/>
      <c r="Q52" s="140"/>
      <c r="R52" s="137"/>
      <c r="S52" s="138">
        <f t="shared" si="5"/>
        <v>0</v>
      </c>
      <c r="T52" s="138">
        <f t="shared" si="4"/>
        <v>0</v>
      </c>
      <c r="U52" s="139">
        <f t="shared" si="6"/>
        <v>0</v>
      </c>
      <c r="V52" s="140">
        <f t="shared" si="7"/>
        <v>0</v>
      </c>
    </row>
    <row r="53" spans="1:22" ht="15.75">
      <c r="A53" s="109" t="s">
        <v>214</v>
      </c>
      <c r="B53" s="111" t="s">
        <v>38</v>
      </c>
      <c r="C53" s="30">
        <v>0.39</v>
      </c>
      <c r="D53" s="117">
        <f aca="true" t="shared" si="9" ref="D53:D85">C53/1</f>
        <v>0.39</v>
      </c>
      <c r="E53" s="111" t="s">
        <v>37</v>
      </c>
      <c r="F53" s="30">
        <f>G53*25</f>
        <v>21.25</v>
      </c>
      <c r="G53" s="54">
        <v>0.85</v>
      </c>
      <c r="H53" s="111" t="s">
        <v>38</v>
      </c>
      <c r="I53" s="30">
        <v>0.69</v>
      </c>
      <c r="J53" s="54">
        <f t="shared" si="8"/>
        <v>0.69</v>
      </c>
      <c r="K53" s="104" t="s">
        <v>37</v>
      </c>
      <c r="L53" s="54">
        <v>12.25</v>
      </c>
      <c r="M53" s="54">
        <f>L53/25</f>
        <v>0.49</v>
      </c>
      <c r="P53" s="140"/>
      <c r="Q53" s="140"/>
      <c r="R53" s="137"/>
      <c r="S53" s="138">
        <f t="shared" si="5"/>
        <v>0</v>
      </c>
      <c r="T53" s="138">
        <f t="shared" si="4"/>
        <v>0</v>
      </c>
      <c r="U53" s="139">
        <f t="shared" si="6"/>
        <v>0</v>
      </c>
      <c r="V53" s="140">
        <f t="shared" si="7"/>
        <v>0</v>
      </c>
    </row>
    <row r="54" spans="1:22" ht="15.75">
      <c r="A54" s="109" t="s">
        <v>215</v>
      </c>
      <c r="B54" s="111" t="s">
        <v>38</v>
      </c>
      <c r="C54" s="30">
        <v>0.47</v>
      </c>
      <c r="D54" s="117">
        <f t="shared" si="9"/>
        <v>0.47</v>
      </c>
      <c r="E54" s="111" t="s">
        <v>37</v>
      </c>
      <c r="F54" s="5">
        <f>G54*25</f>
        <v>24.5</v>
      </c>
      <c r="G54" s="54">
        <v>0.98</v>
      </c>
      <c r="H54" s="111" t="s">
        <v>38</v>
      </c>
      <c r="I54" s="5">
        <v>0.9</v>
      </c>
      <c r="J54" s="54">
        <f t="shared" si="8"/>
        <v>0.9</v>
      </c>
      <c r="K54" s="104" t="s">
        <v>37</v>
      </c>
      <c r="L54" s="54">
        <v>26.75</v>
      </c>
      <c r="M54" s="54">
        <f>L54/25</f>
        <v>1.07</v>
      </c>
      <c r="P54" s="111"/>
      <c r="Q54" s="116"/>
      <c r="R54" s="137"/>
      <c r="S54" s="138">
        <f t="shared" si="5"/>
        <v>0</v>
      </c>
      <c r="T54" s="138">
        <f t="shared" si="4"/>
        <v>0</v>
      </c>
      <c r="U54" s="139">
        <f t="shared" si="6"/>
        <v>0</v>
      </c>
      <c r="V54" s="140">
        <f t="shared" si="7"/>
        <v>0</v>
      </c>
    </row>
    <row r="55" spans="1:22" ht="15.75">
      <c r="A55" s="109" t="s">
        <v>216</v>
      </c>
      <c r="B55" s="111" t="s">
        <v>38</v>
      </c>
      <c r="C55" s="30">
        <v>0.73</v>
      </c>
      <c r="D55" s="117">
        <f t="shared" si="9"/>
        <v>0.73</v>
      </c>
      <c r="E55" s="111" t="s">
        <v>298</v>
      </c>
      <c r="F55" s="30" t="s">
        <v>326</v>
      </c>
      <c r="G55" s="54" t="s">
        <v>326</v>
      </c>
      <c r="H55" s="111" t="s">
        <v>38</v>
      </c>
      <c r="I55" s="30">
        <v>1.25</v>
      </c>
      <c r="J55" s="54">
        <f t="shared" si="8"/>
        <v>1.25</v>
      </c>
      <c r="K55" s="104" t="s">
        <v>37</v>
      </c>
      <c r="L55" s="54">
        <v>22.75</v>
      </c>
      <c r="M55" s="54">
        <f>L55/25</f>
        <v>0.91</v>
      </c>
      <c r="P55" s="140"/>
      <c r="Q55" s="140"/>
      <c r="R55" s="137"/>
      <c r="S55" s="138">
        <f t="shared" si="5"/>
        <v>0</v>
      </c>
      <c r="T55" s="138"/>
      <c r="U55" s="139">
        <f t="shared" si="6"/>
        <v>0</v>
      </c>
      <c r="V55" s="140">
        <f t="shared" si="7"/>
        <v>0</v>
      </c>
    </row>
    <row r="56" spans="1:22" ht="15.75">
      <c r="A56" s="109" t="s">
        <v>63</v>
      </c>
      <c r="B56" s="111" t="s">
        <v>38</v>
      </c>
      <c r="C56" s="30">
        <v>0.99</v>
      </c>
      <c r="D56" s="117">
        <f t="shared" si="9"/>
        <v>0.99</v>
      </c>
      <c r="E56" s="111" t="s">
        <v>328</v>
      </c>
      <c r="F56" s="5">
        <v>12</v>
      </c>
      <c r="G56" s="54">
        <f>F56/12</f>
        <v>1</v>
      </c>
      <c r="H56" s="111" t="s">
        <v>38</v>
      </c>
      <c r="I56" s="5">
        <v>1.05</v>
      </c>
      <c r="J56" s="54">
        <f t="shared" si="8"/>
        <v>1.05</v>
      </c>
      <c r="K56" s="104" t="s">
        <v>327</v>
      </c>
      <c r="L56" s="54">
        <v>10.92</v>
      </c>
      <c r="M56" s="54">
        <f>L56/12</f>
        <v>0.91</v>
      </c>
      <c r="P56" s="116"/>
      <c r="Q56" s="116"/>
      <c r="R56" s="137"/>
      <c r="S56" s="138">
        <f t="shared" si="5"/>
        <v>0</v>
      </c>
      <c r="T56" s="138">
        <f aca="true" t="shared" si="10" ref="T56:T94">Q56*G56</f>
        <v>0</v>
      </c>
      <c r="U56" s="139">
        <f t="shared" si="6"/>
        <v>0</v>
      </c>
      <c r="V56" s="140">
        <f t="shared" si="7"/>
        <v>0</v>
      </c>
    </row>
    <row r="57" spans="1:22" ht="15.75">
      <c r="A57" s="109" t="s">
        <v>64</v>
      </c>
      <c r="B57" s="111" t="s">
        <v>38</v>
      </c>
      <c r="C57" s="30">
        <v>0.95</v>
      </c>
      <c r="D57" s="117">
        <f t="shared" si="9"/>
        <v>0.95</v>
      </c>
      <c r="E57" s="111" t="s">
        <v>328</v>
      </c>
      <c r="F57" s="5">
        <v>12</v>
      </c>
      <c r="G57" s="54">
        <f>F57/12</f>
        <v>1</v>
      </c>
      <c r="H57" s="111" t="s">
        <v>38</v>
      </c>
      <c r="I57" s="5">
        <v>1.15</v>
      </c>
      <c r="J57" s="54">
        <f t="shared" si="8"/>
        <v>1.15</v>
      </c>
      <c r="K57" s="104" t="s">
        <v>327</v>
      </c>
      <c r="L57" s="54">
        <v>10.08</v>
      </c>
      <c r="M57" s="54">
        <f>L57/12</f>
        <v>0.84</v>
      </c>
      <c r="P57" s="140"/>
      <c r="Q57" s="140"/>
      <c r="R57" s="137"/>
      <c r="S57" s="138">
        <f t="shared" si="5"/>
        <v>0</v>
      </c>
      <c r="T57" s="138">
        <f t="shared" si="10"/>
        <v>0</v>
      </c>
      <c r="U57" s="139">
        <f t="shared" si="6"/>
        <v>0</v>
      </c>
      <c r="V57" s="140">
        <f t="shared" si="7"/>
        <v>0</v>
      </c>
    </row>
    <row r="58" spans="1:22" ht="15.75">
      <c r="A58" s="109" t="s">
        <v>65</v>
      </c>
      <c r="B58" s="111" t="s">
        <v>38</v>
      </c>
      <c r="C58" s="30">
        <v>1.16</v>
      </c>
      <c r="D58" s="117">
        <f t="shared" si="9"/>
        <v>1.16</v>
      </c>
      <c r="E58" s="111" t="s">
        <v>328</v>
      </c>
      <c r="F58" s="5">
        <v>12</v>
      </c>
      <c r="G58" s="54">
        <f>F58/12</f>
        <v>1</v>
      </c>
      <c r="H58" s="111" t="s">
        <v>38</v>
      </c>
      <c r="I58" s="5">
        <v>1.59</v>
      </c>
      <c r="J58" s="54">
        <f t="shared" si="8"/>
        <v>1.59</v>
      </c>
      <c r="K58" s="104" t="s">
        <v>327</v>
      </c>
      <c r="L58" s="54">
        <v>12.96</v>
      </c>
      <c r="M58" s="54">
        <f>L58/12</f>
        <v>1.08</v>
      </c>
      <c r="P58" s="140"/>
      <c r="Q58" s="140"/>
      <c r="R58" s="137"/>
      <c r="S58" s="138">
        <f t="shared" si="5"/>
        <v>0</v>
      </c>
      <c r="T58" s="138">
        <f t="shared" si="10"/>
        <v>0</v>
      </c>
      <c r="U58" s="139">
        <f t="shared" si="6"/>
        <v>0</v>
      </c>
      <c r="V58" s="140">
        <f t="shared" si="7"/>
        <v>0</v>
      </c>
    </row>
    <row r="59" spans="1:22" ht="15.75">
      <c r="A59" s="109" t="s">
        <v>66</v>
      </c>
      <c r="B59" s="111" t="s">
        <v>38</v>
      </c>
      <c r="C59" s="30">
        <v>3.91</v>
      </c>
      <c r="D59" s="117">
        <f t="shared" si="9"/>
        <v>3.91</v>
      </c>
      <c r="E59" s="111" t="s">
        <v>36</v>
      </c>
      <c r="F59" s="5">
        <v>43</v>
      </c>
      <c r="G59" s="54">
        <f>F59/10</f>
        <v>4.3</v>
      </c>
      <c r="H59" s="111" t="s">
        <v>38</v>
      </c>
      <c r="I59" s="5">
        <v>3.9</v>
      </c>
      <c r="J59" s="54">
        <f t="shared" si="8"/>
        <v>3.9</v>
      </c>
      <c r="K59" s="111" t="s">
        <v>38</v>
      </c>
      <c r="L59" s="5">
        <v>3.76</v>
      </c>
      <c r="M59" s="54">
        <f aca="true" t="shared" si="11" ref="M59:M85">L59/1</f>
        <v>3.76</v>
      </c>
      <c r="P59" s="116"/>
      <c r="Q59" s="116"/>
      <c r="R59" s="137"/>
      <c r="S59" s="138">
        <f t="shared" si="5"/>
        <v>0</v>
      </c>
      <c r="T59" s="138">
        <f t="shared" si="10"/>
        <v>0</v>
      </c>
      <c r="U59" s="139">
        <f t="shared" si="6"/>
        <v>0</v>
      </c>
      <c r="V59" s="140">
        <f t="shared" si="7"/>
        <v>0</v>
      </c>
    </row>
    <row r="60" spans="1:22" ht="15.75">
      <c r="A60" s="109" t="s">
        <v>217</v>
      </c>
      <c r="B60" s="111" t="s">
        <v>38</v>
      </c>
      <c r="C60" s="30">
        <v>0.82</v>
      </c>
      <c r="D60" s="117">
        <f t="shared" si="9"/>
        <v>0.82</v>
      </c>
      <c r="E60" s="111" t="s">
        <v>329</v>
      </c>
      <c r="F60" s="5">
        <v>0.8</v>
      </c>
      <c r="G60" s="54">
        <f>F60/1</f>
        <v>0.8</v>
      </c>
      <c r="H60" s="111" t="s">
        <v>364</v>
      </c>
      <c r="I60" s="5">
        <v>0.89</v>
      </c>
      <c r="J60" s="54">
        <f t="shared" si="8"/>
        <v>0.89</v>
      </c>
      <c r="K60" s="111" t="s">
        <v>329</v>
      </c>
      <c r="L60" s="5">
        <v>0.71</v>
      </c>
      <c r="M60" s="54">
        <f t="shared" si="11"/>
        <v>0.71</v>
      </c>
      <c r="P60" s="140"/>
      <c r="Q60" s="140"/>
      <c r="R60" s="137"/>
      <c r="S60" s="138">
        <f t="shared" si="5"/>
        <v>0</v>
      </c>
      <c r="T60" s="138">
        <f t="shared" si="10"/>
        <v>0</v>
      </c>
      <c r="U60" s="139">
        <f t="shared" si="6"/>
        <v>0</v>
      </c>
      <c r="V60" s="140">
        <f t="shared" si="7"/>
        <v>0</v>
      </c>
    </row>
    <row r="61" spans="1:22" ht="15.75">
      <c r="A61" s="109" t="s">
        <v>218</v>
      </c>
      <c r="B61" s="111" t="s">
        <v>38</v>
      </c>
      <c r="C61" s="30">
        <v>4.51</v>
      </c>
      <c r="D61" s="117">
        <f t="shared" si="9"/>
        <v>4.51</v>
      </c>
      <c r="E61" s="111" t="s">
        <v>330</v>
      </c>
      <c r="F61" s="5">
        <v>3.2</v>
      </c>
      <c r="G61" s="54">
        <f>F61/1</f>
        <v>3.2</v>
      </c>
      <c r="H61" s="111" t="s">
        <v>38</v>
      </c>
      <c r="I61" s="5">
        <v>3.99</v>
      </c>
      <c r="J61" s="54">
        <f t="shared" si="8"/>
        <v>3.99</v>
      </c>
      <c r="K61" s="111" t="s">
        <v>38</v>
      </c>
      <c r="L61" s="5">
        <v>3.65</v>
      </c>
      <c r="M61" s="54">
        <f t="shared" si="11"/>
        <v>3.65</v>
      </c>
      <c r="P61" s="140"/>
      <c r="Q61" s="140"/>
      <c r="R61" s="137"/>
      <c r="S61" s="138">
        <f t="shared" si="5"/>
        <v>0</v>
      </c>
      <c r="T61" s="138">
        <f t="shared" si="10"/>
        <v>0</v>
      </c>
      <c r="U61" s="139">
        <f t="shared" si="6"/>
        <v>0</v>
      </c>
      <c r="V61" s="140">
        <f t="shared" si="7"/>
        <v>0</v>
      </c>
    </row>
    <row r="62" spans="1:22" ht="15.75">
      <c r="A62" s="109" t="s">
        <v>219</v>
      </c>
      <c r="B62" s="111" t="s">
        <v>38</v>
      </c>
      <c r="C62" s="30">
        <v>1.1</v>
      </c>
      <c r="D62" s="117">
        <f t="shared" si="9"/>
        <v>1.1</v>
      </c>
      <c r="E62" s="111" t="s">
        <v>327</v>
      </c>
      <c r="F62" s="5">
        <f>G62*12</f>
        <v>14.399999999999999</v>
      </c>
      <c r="G62" s="54">
        <v>1.2</v>
      </c>
      <c r="H62" s="111" t="s">
        <v>38</v>
      </c>
      <c r="I62" s="5">
        <v>1.25</v>
      </c>
      <c r="J62" s="54">
        <f t="shared" si="8"/>
        <v>1.25</v>
      </c>
      <c r="K62" s="111" t="s">
        <v>38</v>
      </c>
      <c r="L62" s="5">
        <v>1.2</v>
      </c>
      <c r="M62" s="54">
        <f t="shared" si="11"/>
        <v>1.2</v>
      </c>
      <c r="P62" s="140"/>
      <c r="Q62" s="140"/>
      <c r="R62" s="137"/>
      <c r="S62" s="138">
        <f t="shared" si="5"/>
        <v>0</v>
      </c>
      <c r="T62" s="138">
        <f t="shared" si="10"/>
        <v>0</v>
      </c>
      <c r="U62" s="139">
        <f t="shared" si="6"/>
        <v>0</v>
      </c>
      <c r="V62" s="140">
        <f t="shared" si="7"/>
        <v>0</v>
      </c>
    </row>
    <row r="63" spans="1:22" ht="15.75">
      <c r="A63" s="109" t="s">
        <v>220</v>
      </c>
      <c r="B63" s="111" t="s">
        <v>38</v>
      </c>
      <c r="C63" s="30">
        <v>11.34</v>
      </c>
      <c r="D63" s="117">
        <f t="shared" si="9"/>
        <v>11.34</v>
      </c>
      <c r="E63" s="111" t="s">
        <v>38</v>
      </c>
      <c r="F63" s="5">
        <v>7.8</v>
      </c>
      <c r="G63" s="54">
        <f>F63/1</f>
        <v>7.8</v>
      </c>
      <c r="H63" s="111" t="s">
        <v>38</v>
      </c>
      <c r="I63" s="5">
        <v>9.22</v>
      </c>
      <c r="J63" s="54">
        <f t="shared" si="8"/>
        <v>9.22</v>
      </c>
      <c r="K63" s="113" t="s">
        <v>38</v>
      </c>
      <c r="L63" s="8">
        <v>8.54</v>
      </c>
      <c r="M63" s="112">
        <f t="shared" si="11"/>
        <v>8.54</v>
      </c>
      <c r="N63" t="s">
        <v>393</v>
      </c>
      <c r="P63" s="140"/>
      <c r="Q63" s="140"/>
      <c r="R63" s="137"/>
      <c r="S63" s="138">
        <f t="shared" si="5"/>
        <v>0</v>
      </c>
      <c r="T63" s="138">
        <f t="shared" si="10"/>
        <v>0</v>
      </c>
      <c r="U63" s="139">
        <f t="shared" si="6"/>
        <v>0</v>
      </c>
      <c r="V63" s="140">
        <f t="shared" si="7"/>
        <v>0</v>
      </c>
    </row>
    <row r="64" spans="1:22" ht="15.75">
      <c r="A64" s="109" t="s">
        <v>221</v>
      </c>
      <c r="B64" s="111" t="s">
        <v>38</v>
      </c>
      <c r="C64" s="30">
        <v>13.33</v>
      </c>
      <c r="D64" s="117">
        <f t="shared" si="9"/>
        <v>13.33</v>
      </c>
      <c r="E64" s="111" t="s">
        <v>38</v>
      </c>
      <c r="F64" s="30">
        <v>8.5</v>
      </c>
      <c r="G64" s="54">
        <f>F64/1</f>
        <v>8.5</v>
      </c>
      <c r="H64" s="111" t="s">
        <v>38</v>
      </c>
      <c r="I64" s="30">
        <v>11.25</v>
      </c>
      <c r="J64" s="54">
        <f t="shared" si="8"/>
        <v>11.25</v>
      </c>
      <c r="K64" s="113" t="s">
        <v>38</v>
      </c>
      <c r="L64" s="8">
        <v>10.18</v>
      </c>
      <c r="M64" s="112">
        <f t="shared" si="11"/>
        <v>10.18</v>
      </c>
      <c r="N64" t="s">
        <v>393</v>
      </c>
      <c r="P64" s="140"/>
      <c r="Q64" s="140"/>
      <c r="R64" s="137"/>
      <c r="S64" s="138">
        <f t="shared" si="5"/>
        <v>0</v>
      </c>
      <c r="T64" s="138">
        <f t="shared" si="10"/>
        <v>0</v>
      </c>
      <c r="U64" s="139">
        <f t="shared" si="6"/>
        <v>0</v>
      </c>
      <c r="V64" s="140">
        <f t="shared" si="7"/>
        <v>0</v>
      </c>
    </row>
    <row r="65" spans="1:22" ht="15.75">
      <c r="A65" s="109" t="s">
        <v>222</v>
      </c>
      <c r="B65" s="111" t="s">
        <v>38</v>
      </c>
      <c r="C65" s="30">
        <v>4.55</v>
      </c>
      <c r="D65" s="117">
        <f t="shared" si="9"/>
        <v>4.55</v>
      </c>
      <c r="E65" s="111" t="s">
        <v>38</v>
      </c>
      <c r="F65" s="30">
        <v>3.8</v>
      </c>
      <c r="G65" s="54">
        <f>F65/1</f>
        <v>3.8</v>
      </c>
      <c r="H65" s="111" t="s">
        <v>38</v>
      </c>
      <c r="I65" s="30">
        <v>2.99</v>
      </c>
      <c r="J65" s="54">
        <f t="shared" si="8"/>
        <v>2.99</v>
      </c>
      <c r="K65" s="113" t="s">
        <v>38</v>
      </c>
      <c r="L65" s="8">
        <v>3.99</v>
      </c>
      <c r="M65" s="112">
        <f t="shared" si="11"/>
        <v>3.99</v>
      </c>
      <c r="P65" s="140"/>
      <c r="Q65" s="140"/>
      <c r="R65" s="137"/>
      <c r="S65" s="138">
        <f t="shared" si="5"/>
        <v>0</v>
      </c>
      <c r="T65" s="138">
        <f t="shared" si="10"/>
        <v>0</v>
      </c>
      <c r="U65" s="139">
        <f t="shared" si="6"/>
        <v>0</v>
      </c>
      <c r="V65" s="140">
        <f t="shared" si="7"/>
        <v>0</v>
      </c>
    </row>
    <row r="66" spans="1:22" ht="15.75">
      <c r="A66" s="109" t="s">
        <v>223</v>
      </c>
      <c r="B66" s="111" t="s">
        <v>38</v>
      </c>
      <c r="C66" s="30">
        <v>5.9</v>
      </c>
      <c r="D66" s="117">
        <f t="shared" si="9"/>
        <v>5.9</v>
      </c>
      <c r="E66" s="111" t="s">
        <v>38</v>
      </c>
      <c r="F66" s="30">
        <v>4.2</v>
      </c>
      <c r="G66" s="54">
        <f>F66/1</f>
        <v>4.2</v>
      </c>
      <c r="H66" s="111" t="s">
        <v>38</v>
      </c>
      <c r="I66" s="30">
        <v>4.38</v>
      </c>
      <c r="J66" s="54">
        <f t="shared" si="8"/>
        <v>4.38</v>
      </c>
      <c r="K66" s="111" t="s">
        <v>38</v>
      </c>
      <c r="L66" s="5">
        <v>5.12</v>
      </c>
      <c r="M66" s="54">
        <f t="shared" si="11"/>
        <v>5.12</v>
      </c>
      <c r="P66" s="140"/>
      <c r="Q66" s="140"/>
      <c r="R66" s="137"/>
      <c r="S66" s="138">
        <f t="shared" si="5"/>
        <v>0</v>
      </c>
      <c r="T66" s="138">
        <f t="shared" si="10"/>
        <v>0</v>
      </c>
      <c r="U66" s="139">
        <f t="shared" si="6"/>
        <v>0</v>
      </c>
      <c r="V66" s="140">
        <f t="shared" si="7"/>
        <v>0</v>
      </c>
    </row>
    <row r="67" spans="1:22" ht="15.75">
      <c r="A67" s="109" t="s">
        <v>224</v>
      </c>
      <c r="B67" s="111" t="s">
        <v>38</v>
      </c>
      <c r="C67" s="30">
        <v>0.97</v>
      </c>
      <c r="D67" s="117">
        <f t="shared" si="9"/>
        <v>0.97</v>
      </c>
      <c r="E67" s="111" t="s">
        <v>327</v>
      </c>
      <c r="F67" s="30">
        <v>12</v>
      </c>
      <c r="G67" s="54">
        <f>F67/12</f>
        <v>1</v>
      </c>
      <c r="H67" s="111" t="s">
        <v>38</v>
      </c>
      <c r="I67" s="30">
        <v>0.85</v>
      </c>
      <c r="J67" s="54">
        <f t="shared" si="8"/>
        <v>0.85</v>
      </c>
      <c r="K67" s="111" t="s">
        <v>390</v>
      </c>
      <c r="L67" s="5">
        <v>0.67</v>
      </c>
      <c r="M67" s="54">
        <f t="shared" si="11"/>
        <v>0.67</v>
      </c>
      <c r="P67" s="140"/>
      <c r="Q67" s="140"/>
      <c r="R67" s="137"/>
      <c r="S67" s="138">
        <f t="shared" si="5"/>
        <v>0</v>
      </c>
      <c r="T67" s="138">
        <f t="shared" si="10"/>
        <v>0</v>
      </c>
      <c r="U67" s="139">
        <f t="shared" si="6"/>
        <v>0</v>
      </c>
      <c r="V67" s="140">
        <f t="shared" si="7"/>
        <v>0</v>
      </c>
    </row>
    <row r="68" spans="1:22" ht="15.75">
      <c r="A68" s="109" t="s">
        <v>225</v>
      </c>
      <c r="B68" s="111" t="s">
        <v>38</v>
      </c>
      <c r="C68" s="120">
        <v>3.41</v>
      </c>
      <c r="D68" s="54">
        <f t="shared" si="9"/>
        <v>3.41</v>
      </c>
      <c r="E68" s="111" t="s">
        <v>38</v>
      </c>
      <c r="F68" s="30">
        <v>1.96</v>
      </c>
      <c r="G68" s="54">
        <f aca="true" t="shared" si="12" ref="G68:G85">F68/1</f>
        <v>1.96</v>
      </c>
      <c r="H68" s="111" t="s">
        <v>38</v>
      </c>
      <c r="I68" s="30">
        <v>2.1</v>
      </c>
      <c r="J68" s="54">
        <f t="shared" si="8"/>
        <v>2.1</v>
      </c>
      <c r="K68" s="111" t="s">
        <v>38</v>
      </c>
      <c r="L68" s="5">
        <v>2.95</v>
      </c>
      <c r="M68" s="54">
        <f t="shared" si="11"/>
        <v>2.95</v>
      </c>
      <c r="P68" s="140"/>
      <c r="Q68" s="140"/>
      <c r="R68" s="137"/>
      <c r="S68" s="138">
        <f t="shared" si="5"/>
        <v>0</v>
      </c>
      <c r="T68" s="138">
        <f t="shared" si="10"/>
        <v>0</v>
      </c>
      <c r="U68" s="139">
        <f t="shared" si="6"/>
        <v>0</v>
      </c>
      <c r="V68" s="140">
        <f t="shared" si="7"/>
        <v>0</v>
      </c>
    </row>
    <row r="69" spans="1:22" ht="15.75">
      <c r="A69" s="109" t="s">
        <v>226</v>
      </c>
      <c r="B69" s="111" t="s">
        <v>38</v>
      </c>
      <c r="C69" s="120">
        <v>2.2</v>
      </c>
      <c r="D69" s="121">
        <f t="shared" si="9"/>
        <v>2.2</v>
      </c>
      <c r="E69" s="111" t="s">
        <v>38</v>
      </c>
      <c r="F69" s="30">
        <v>1.75</v>
      </c>
      <c r="G69" s="30">
        <f t="shared" si="12"/>
        <v>1.75</v>
      </c>
      <c r="H69" s="111" t="s">
        <v>38</v>
      </c>
      <c r="I69" s="30">
        <v>1.95</v>
      </c>
      <c r="J69" s="30">
        <f t="shared" si="8"/>
        <v>1.95</v>
      </c>
      <c r="K69" s="111" t="s">
        <v>38</v>
      </c>
      <c r="L69" s="5">
        <v>1.89</v>
      </c>
      <c r="M69" s="54">
        <f t="shared" si="11"/>
        <v>1.89</v>
      </c>
      <c r="P69" s="140"/>
      <c r="Q69" s="140"/>
      <c r="R69" s="137"/>
      <c r="S69" s="138">
        <f t="shared" si="5"/>
        <v>0</v>
      </c>
      <c r="T69" s="138">
        <f t="shared" si="10"/>
        <v>0</v>
      </c>
      <c r="U69" s="139">
        <f t="shared" si="6"/>
        <v>0</v>
      </c>
      <c r="V69" s="140">
        <f t="shared" si="7"/>
        <v>0</v>
      </c>
    </row>
    <row r="70" spans="1:22" ht="15.75">
      <c r="A70" s="109" t="s">
        <v>227</v>
      </c>
      <c r="B70" s="111" t="s">
        <v>38</v>
      </c>
      <c r="C70" s="120">
        <v>36.4</v>
      </c>
      <c r="D70" s="121">
        <f t="shared" si="9"/>
        <v>36.4</v>
      </c>
      <c r="E70" s="111" t="s">
        <v>38</v>
      </c>
      <c r="F70" s="5">
        <v>29</v>
      </c>
      <c r="G70" s="5">
        <f t="shared" si="12"/>
        <v>29</v>
      </c>
      <c r="H70" s="111" t="s">
        <v>38</v>
      </c>
      <c r="I70" s="5">
        <v>42</v>
      </c>
      <c r="J70" s="5">
        <f t="shared" si="8"/>
        <v>42</v>
      </c>
      <c r="K70" s="111" t="s">
        <v>38</v>
      </c>
      <c r="L70" s="5">
        <v>29.98</v>
      </c>
      <c r="M70" s="54">
        <f t="shared" si="11"/>
        <v>29.98</v>
      </c>
      <c r="P70" s="140"/>
      <c r="Q70" s="140"/>
      <c r="R70" s="137"/>
      <c r="S70" s="138">
        <f t="shared" si="5"/>
        <v>0</v>
      </c>
      <c r="T70" s="138">
        <f t="shared" si="10"/>
        <v>0</v>
      </c>
      <c r="U70" s="139">
        <f t="shared" si="6"/>
        <v>0</v>
      </c>
      <c r="V70" s="140">
        <f t="shared" si="7"/>
        <v>0</v>
      </c>
    </row>
    <row r="71" spans="1:22" ht="15.75">
      <c r="A71" s="109" t="s">
        <v>228</v>
      </c>
      <c r="B71" s="111" t="s">
        <v>38</v>
      </c>
      <c r="C71" s="120">
        <v>74.2</v>
      </c>
      <c r="D71" s="121">
        <f t="shared" si="9"/>
        <v>74.2</v>
      </c>
      <c r="E71" s="111" t="s">
        <v>38</v>
      </c>
      <c r="F71" s="5">
        <v>85</v>
      </c>
      <c r="G71" s="5">
        <f t="shared" si="12"/>
        <v>85</v>
      </c>
      <c r="H71" s="111" t="s">
        <v>38</v>
      </c>
      <c r="I71" s="5">
        <v>68.5</v>
      </c>
      <c r="J71" s="5">
        <f t="shared" si="8"/>
        <v>68.5</v>
      </c>
      <c r="K71" s="111" t="s">
        <v>38</v>
      </c>
      <c r="L71" s="5">
        <v>73.78</v>
      </c>
      <c r="M71" s="54">
        <f t="shared" si="11"/>
        <v>73.78</v>
      </c>
      <c r="P71" s="140"/>
      <c r="Q71" s="140"/>
      <c r="R71" s="137"/>
      <c r="S71" s="138">
        <f aca="true" t="shared" si="13" ref="S71:S98">Q71*D71</f>
        <v>0</v>
      </c>
      <c r="T71" s="138">
        <f t="shared" si="10"/>
        <v>0</v>
      </c>
      <c r="U71" s="139">
        <f aca="true" t="shared" si="14" ref="U71:U98">Q71*J71</f>
        <v>0</v>
      </c>
      <c r="V71" s="140">
        <f aca="true" t="shared" si="15" ref="V71:V98">Q71*M71</f>
        <v>0</v>
      </c>
    </row>
    <row r="72" spans="1:22" ht="15.75">
      <c r="A72" s="109" t="s">
        <v>229</v>
      </c>
      <c r="B72" s="111" t="s">
        <v>38</v>
      </c>
      <c r="C72" s="120">
        <v>1.74</v>
      </c>
      <c r="D72" s="121">
        <f t="shared" si="9"/>
        <v>1.74</v>
      </c>
      <c r="E72" s="111" t="s">
        <v>38</v>
      </c>
      <c r="F72" s="30">
        <v>1.36</v>
      </c>
      <c r="G72" s="5">
        <f t="shared" si="12"/>
        <v>1.36</v>
      </c>
      <c r="H72" s="111" t="s">
        <v>38</v>
      </c>
      <c r="I72" s="30">
        <v>1.35</v>
      </c>
      <c r="J72" s="5">
        <f t="shared" si="8"/>
        <v>1.35</v>
      </c>
      <c r="K72" s="111" t="s">
        <v>38</v>
      </c>
      <c r="L72" s="5">
        <v>1.64</v>
      </c>
      <c r="M72" s="54">
        <f t="shared" si="11"/>
        <v>1.64</v>
      </c>
      <c r="P72" s="140"/>
      <c r="Q72" s="140"/>
      <c r="R72" s="137"/>
      <c r="S72" s="138">
        <f t="shared" si="13"/>
        <v>0</v>
      </c>
      <c r="T72" s="138">
        <f t="shared" si="10"/>
        <v>0</v>
      </c>
      <c r="U72" s="139">
        <f t="shared" si="14"/>
        <v>0</v>
      </c>
      <c r="V72" s="140">
        <f t="shared" si="15"/>
        <v>0</v>
      </c>
    </row>
    <row r="73" spans="1:22" ht="15.75">
      <c r="A73" s="109" t="s">
        <v>230</v>
      </c>
      <c r="B73" s="111" t="s">
        <v>38</v>
      </c>
      <c r="C73" s="120">
        <v>1.74</v>
      </c>
      <c r="D73" s="121">
        <f t="shared" si="9"/>
        <v>1.74</v>
      </c>
      <c r="E73" s="111" t="s">
        <v>38</v>
      </c>
      <c r="F73" s="30">
        <v>1.36</v>
      </c>
      <c r="G73" s="30">
        <f t="shared" si="12"/>
        <v>1.36</v>
      </c>
      <c r="H73" s="111" t="s">
        <v>38</v>
      </c>
      <c r="I73" s="30">
        <v>1.15</v>
      </c>
      <c r="J73" s="30">
        <f t="shared" si="8"/>
        <v>1.15</v>
      </c>
      <c r="K73" s="111" t="s">
        <v>38</v>
      </c>
      <c r="L73" s="5">
        <v>1.41</v>
      </c>
      <c r="M73" s="54">
        <f t="shared" si="11"/>
        <v>1.41</v>
      </c>
      <c r="P73" s="140"/>
      <c r="Q73" s="140"/>
      <c r="R73" s="137"/>
      <c r="S73" s="138">
        <f t="shared" si="13"/>
        <v>0</v>
      </c>
      <c r="T73" s="138">
        <f t="shared" si="10"/>
        <v>0</v>
      </c>
      <c r="U73" s="139">
        <f t="shared" si="14"/>
        <v>0</v>
      </c>
      <c r="V73" s="140">
        <f t="shared" si="15"/>
        <v>0</v>
      </c>
    </row>
    <row r="74" spans="1:22" ht="15.75">
      <c r="A74" s="109" t="s">
        <v>231</v>
      </c>
      <c r="B74" s="111" t="s">
        <v>38</v>
      </c>
      <c r="C74" s="120">
        <v>0.94</v>
      </c>
      <c r="D74" s="121">
        <f t="shared" si="9"/>
        <v>0.94</v>
      </c>
      <c r="E74" s="111" t="s">
        <v>38</v>
      </c>
      <c r="F74" s="5">
        <v>1</v>
      </c>
      <c r="G74" s="54">
        <f t="shared" si="12"/>
        <v>1</v>
      </c>
      <c r="H74" s="111" t="s">
        <v>365</v>
      </c>
      <c r="I74" s="5">
        <v>1.2</v>
      </c>
      <c r="J74" s="54">
        <f t="shared" si="8"/>
        <v>1.2</v>
      </c>
      <c r="K74" s="111" t="s">
        <v>391</v>
      </c>
      <c r="L74" s="5">
        <v>1.15</v>
      </c>
      <c r="M74" s="54">
        <f t="shared" si="11"/>
        <v>1.15</v>
      </c>
      <c r="P74" s="140"/>
      <c r="Q74" s="140"/>
      <c r="R74" s="137"/>
      <c r="S74" s="138">
        <f t="shared" si="13"/>
        <v>0</v>
      </c>
      <c r="T74" s="138">
        <f t="shared" si="10"/>
        <v>0</v>
      </c>
      <c r="U74" s="139">
        <f t="shared" si="14"/>
        <v>0</v>
      </c>
      <c r="V74" s="140">
        <f t="shared" si="15"/>
        <v>0</v>
      </c>
    </row>
    <row r="75" spans="1:22" ht="15.75">
      <c r="A75" s="109" t="s">
        <v>232</v>
      </c>
      <c r="B75" s="111" t="s">
        <v>38</v>
      </c>
      <c r="C75" s="120">
        <v>7.02</v>
      </c>
      <c r="D75" s="121">
        <f t="shared" si="9"/>
        <v>7.02</v>
      </c>
      <c r="E75" s="111" t="s">
        <v>38</v>
      </c>
      <c r="F75" s="5">
        <v>4.3</v>
      </c>
      <c r="G75" s="54">
        <f t="shared" si="12"/>
        <v>4.3</v>
      </c>
      <c r="H75" s="111" t="s">
        <v>38</v>
      </c>
      <c r="I75" s="5">
        <v>2.99</v>
      </c>
      <c r="J75" s="54">
        <f t="shared" si="8"/>
        <v>2.99</v>
      </c>
      <c r="K75" s="111" t="s">
        <v>38</v>
      </c>
      <c r="L75" s="5">
        <v>2.94</v>
      </c>
      <c r="M75" s="54">
        <f t="shared" si="11"/>
        <v>2.94</v>
      </c>
      <c r="P75" s="140"/>
      <c r="Q75" s="140"/>
      <c r="R75" s="137"/>
      <c r="S75" s="138">
        <f t="shared" si="13"/>
        <v>0</v>
      </c>
      <c r="T75" s="138">
        <f t="shared" si="10"/>
        <v>0</v>
      </c>
      <c r="U75" s="139">
        <f t="shared" si="14"/>
        <v>0</v>
      </c>
      <c r="V75" s="140">
        <f t="shared" si="15"/>
        <v>0</v>
      </c>
    </row>
    <row r="76" spans="1:22" ht="15.75">
      <c r="A76" s="109" t="s">
        <v>233</v>
      </c>
      <c r="B76" s="111" t="s">
        <v>38</v>
      </c>
      <c r="C76" s="120">
        <v>1.66</v>
      </c>
      <c r="D76" s="121">
        <f t="shared" si="9"/>
        <v>1.66</v>
      </c>
      <c r="E76" s="111" t="s">
        <v>38</v>
      </c>
      <c r="F76" s="5">
        <v>1.8</v>
      </c>
      <c r="G76" s="54">
        <f t="shared" si="12"/>
        <v>1.8</v>
      </c>
      <c r="H76" s="111" t="s">
        <v>38</v>
      </c>
      <c r="I76" s="5">
        <v>1.89</v>
      </c>
      <c r="J76" s="54">
        <f t="shared" si="8"/>
        <v>1.89</v>
      </c>
      <c r="K76" s="111" t="s">
        <v>38</v>
      </c>
      <c r="L76" s="5">
        <v>1.23</v>
      </c>
      <c r="M76" s="54">
        <f t="shared" si="11"/>
        <v>1.23</v>
      </c>
      <c r="P76" s="140"/>
      <c r="Q76" s="140"/>
      <c r="R76" s="137"/>
      <c r="S76" s="138">
        <f t="shared" si="13"/>
        <v>0</v>
      </c>
      <c r="T76" s="138">
        <f t="shared" si="10"/>
        <v>0</v>
      </c>
      <c r="U76" s="139">
        <f t="shared" si="14"/>
        <v>0</v>
      </c>
      <c r="V76" s="140">
        <f t="shared" si="15"/>
        <v>0</v>
      </c>
    </row>
    <row r="77" spans="1:22" ht="15.75">
      <c r="A77" s="109" t="s">
        <v>234</v>
      </c>
      <c r="B77" s="111" t="s">
        <v>38</v>
      </c>
      <c r="C77" s="120">
        <v>1.95</v>
      </c>
      <c r="D77" s="121">
        <f t="shared" si="9"/>
        <v>1.95</v>
      </c>
      <c r="E77" s="111" t="s">
        <v>38</v>
      </c>
      <c r="F77" s="5">
        <v>3.5</v>
      </c>
      <c r="G77" s="54">
        <f t="shared" si="12"/>
        <v>3.5</v>
      </c>
      <c r="H77" s="111" t="s">
        <v>366</v>
      </c>
      <c r="I77" s="5">
        <v>4.07</v>
      </c>
      <c r="J77" s="54">
        <f t="shared" si="8"/>
        <v>4.07</v>
      </c>
      <c r="K77" s="111" t="s">
        <v>38</v>
      </c>
      <c r="L77" s="5">
        <v>2.23</v>
      </c>
      <c r="M77" s="54">
        <f t="shared" si="11"/>
        <v>2.23</v>
      </c>
      <c r="N77" t="s">
        <v>392</v>
      </c>
      <c r="P77" s="140"/>
      <c r="Q77" s="140"/>
      <c r="R77" s="137"/>
      <c r="S77" s="138">
        <f t="shared" si="13"/>
        <v>0</v>
      </c>
      <c r="T77" s="138">
        <f t="shared" si="10"/>
        <v>0</v>
      </c>
      <c r="U77" s="139">
        <f t="shared" si="14"/>
        <v>0</v>
      </c>
      <c r="V77" s="140">
        <f t="shared" si="15"/>
        <v>0</v>
      </c>
    </row>
    <row r="78" spans="1:22" ht="15.75">
      <c r="A78" s="109" t="s">
        <v>235</v>
      </c>
      <c r="B78" s="111" t="s">
        <v>38</v>
      </c>
      <c r="C78" s="120">
        <v>3.9</v>
      </c>
      <c r="D78" s="121">
        <f t="shared" si="9"/>
        <v>3.9</v>
      </c>
      <c r="E78" s="111" t="s">
        <v>38</v>
      </c>
      <c r="F78" s="5">
        <v>3.9</v>
      </c>
      <c r="G78" s="54">
        <f t="shared" si="12"/>
        <v>3.9</v>
      </c>
      <c r="H78" s="111" t="s">
        <v>38</v>
      </c>
      <c r="I78" s="5">
        <v>1.96</v>
      </c>
      <c r="J78" s="54">
        <f t="shared" si="8"/>
        <v>1.96</v>
      </c>
      <c r="K78" s="111" t="s">
        <v>38</v>
      </c>
      <c r="L78" s="5">
        <v>3.02</v>
      </c>
      <c r="M78" s="54">
        <f t="shared" si="11"/>
        <v>3.02</v>
      </c>
      <c r="P78" s="140"/>
      <c r="Q78" s="140"/>
      <c r="R78" s="137"/>
      <c r="S78" s="138">
        <f t="shared" si="13"/>
        <v>0</v>
      </c>
      <c r="T78" s="138">
        <f t="shared" si="10"/>
        <v>0</v>
      </c>
      <c r="U78" s="139">
        <f t="shared" si="14"/>
        <v>0</v>
      </c>
      <c r="V78" s="140">
        <f t="shared" si="15"/>
        <v>0</v>
      </c>
    </row>
    <row r="79" spans="1:22" ht="25.5">
      <c r="A79" s="109" t="s">
        <v>236</v>
      </c>
      <c r="B79" s="111" t="s">
        <v>289</v>
      </c>
      <c r="C79" s="120">
        <v>15.15</v>
      </c>
      <c r="D79" s="121">
        <f t="shared" si="9"/>
        <v>15.15</v>
      </c>
      <c r="E79" s="111" t="s">
        <v>38</v>
      </c>
      <c r="F79" s="5">
        <v>11</v>
      </c>
      <c r="G79" s="54">
        <f t="shared" si="12"/>
        <v>11</v>
      </c>
      <c r="H79" s="111" t="s">
        <v>38</v>
      </c>
      <c r="I79" s="5">
        <v>2.69</v>
      </c>
      <c r="J79" s="54">
        <f t="shared" si="8"/>
        <v>2.69</v>
      </c>
      <c r="K79" s="111" t="s">
        <v>38</v>
      </c>
      <c r="L79" s="5">
        <v>13.1</v>
      </c>
      <c r="M79" s="54">
        <f t="shared" si="11"/>
        <v>13.1</v>
      </c>
      <c r="P79" s="140"/>
      <c r="Q79" s="140"/>
      <c r="R79" s="137"/>
      <c r="S79" s="138">
        <f t="shared" si="13"/>
        <v>0</v>
      </c>
      <c r="T79" s="138">
        <f t="shared" si="10"/>
        <v>0</v>
      </c>
      <c r="U79" s="139">
        <f t="shared" si="14"/>
        <v>0</v>
      </c>
      <c r="V79" s="140">
        <f t="shared" si="15"/>
        <v>0</v>
      </c>
    </row>
    <row r="80" spans="1:22" ht="15.75">
      <c r="A80" s="109" t="s">
        <v>237</v>
      </c>
      <c r="B80" s="111" t="s">
        <v>38</v>
      </c>
      <c r="C80" s="120">
        <v>1.04</v>
      </c>
      <c r="D80" s="121">
        <f t="shared" si="9"/>
        <v>1.04</v>
      </c>
      <c r="E80" s="111" t="s">
        <v>38</v>
      </c>
      <c r="F80" s="5">
        <v>1.9</v>
      </c>
      <c r="G80" s="54">
        <f t="shared" si="12"/>
        <v>1.9</v>
      </c>
      <c r="H80" s="111" t="s">
        <v>38</v>
      </c>
      <c r="I80" s="5">
        <v>1.99</v>
      </c>
      <c r="J80" s="54">
        <f t="shared" si="8"/>
        <v>1.99</v>
      </c>
      <c r="K80" s="111" t="s">
        <v>38</v>
      </c>
      <c r="L80" s="5">
        <v>1.09</v>
      </c>
      <c r="M80" s="54">
        <f t="shared" si="11"/>
        <v>1.09</v>
      </c>
      <c r="P80" s="140"/>
      <c r="Q80" s="140"/>
      <c r="R80" s="137"/>
      <c r="S80" s="138">
        <f t="shared" si="13"/>
        <v>0</v>
      </c>
      <c r="T80" s="138">
        <f t="shared" si="10"/>
        <v>0</v>
      </c>
      <c r="U80" s="139">
        <f t="shared" si="14"/>
        <v>0</v>
      </c>
      <c r="V80" s="140">
        <f t="shared" si="15"/>
        <v>0</v>
      </c>
    </row>
    <row r="81" spans="1:22" ht="15.75">
      <c r="A81" s="109" t="s">
        <v>16</v>
      </c>
      <c r="B81" s="111" t="s">
        <v>38</v>
      </c>
      <c r="C81" s="120">
        <v>7.35</v>
      </c>
      <c r="D81" s="121">
        <f t="shared" si="9"/>
        <v>7.35</v>
      </c>
      <c r="E81" s="111" t="s">
        <v>38</v>
      </c>
      <c r="F81" s="5">
        <v>6</v>
      </c>
      <c r="G81" s="54">
        <f t="shared" si="12"/>
        <v>6</v>
      </c>
      <c r="H81" s="111" t="s">
        <v>38</v>
      </c>
      <c r="I81" s="5">
        <v>3.5</v>
      </c>
      <c r="J81" s="54">
        <f t="shared" si="8"/>
        <v>3.5</v>
      </c>
      <c r="K81" s="111" t="s">
        <v>38</v>
      </c>
      <c r="L81" s="5">
        <v>5.79</v>
      </c>
      <c r="M81" s="54">
        <f t="shared" si="11"/>
        <v>5.79</v>
      </c>
      <c r="P81" s="140"/>
      <c r="Q81" s="140"/>
      <c r="R81" s="137"/>
      <c r="S81" s="138">
        <f t="shared" si="13"/>
        <v>0</v>
      </c>
      <c r="T81" s="138">
        <f t="shared" si="10"/>
        <v>0</v>
      </c>
      <c r="U81" s="139">
        <f t="shared" si="14"/>
        <v>0</v>
      </c>
      <c r="V81" s="140">
        <f t="shared" si="15"/>
        <v>0</v>
      </c>
    </row>
    <row r="82" spans="1:22" ht="15.75">
      <c r="A82" s="109" t="s">
        <v>238</v>
      </c>
      <c r="B82" s="111" t="s">
        <v>38</v>
      </c>
      <c r="C82" s="120">
        <v>2.56</v>
      </c>
      <c r="D82" s="121">
        <f t="shared" si="9"/>
        <v>2.56</v>
      </c>
      <c r="E82" s="111" t="s">
        <v>38</v>
      </c>
      <c r="F82" s="5">
        <v>2.5</v>
      </c>
      <c r="G82" s="54">
        <f t="shared" si="12"/>
        <v>2.5</v>
      </c>
      <c r="H82" s="111" t="s">
        <v>38</v>
      </c>
      <c r="I82" s="5">
        <v>2.11</v>
      </c>
      <c r="J82" s="54">
        <f t="shared" si="8"/>
        <v>2.11</v>
      </c>
      <c r="K82" s="111" t="s">
        <v>38</v>
      </c>
      <c r="L82" s="5">
        <v>5.34</v>
      </c>
      <c r="M82" s="54">
        <f t="shared" si="11"/>
        <v>5.34</v>
      </c>
      <c r="P82" s="140"/>
      <c r="Q82" s="140"/>
      <c r="R82" s="137"/>
      <c r="S82" s="138">
        <f t="shared" si="13"/>
        <v>0</v>
      </c>
      <c r="T82" s="138">
        <f t="shared" si="10"/>
        <v>0</v>
      </c>
      <c r="U82" s="139">
        <f t="shared" si="14"/>
        <v>0</v>
      </c>
      <c r="V82" s="140">
        <f t="shared" si="15"/>
        <v>0</v>
      </c>
    </row>
    <row r="83" spans="1:22" ht="15.75">
      <c r="A83" s="109" t="s">
        <v>239</v>
      </c>
      <c r="B83" s="111" t="s">
        <v>38</v>
      </c>
      <c r="C83" s="120">
        <v>3.25</v>
      </c>
      <c r="D83" s="121">
        <f t="shared" si="9"/>
        <v>3.25</v>
      </c>
      <c r="E83" s="111" t="s">
        <v>38</v>
      </c>
      <c r="F83" s="5">
        <v>4.8</v>
      </c>
      <c r="G83" s="54">
        <f t="shared" si="12"/>
        <v>4.8</v>
      </c>
      <c r="H83" s="111" t="s">
        <v>38</v>
      </c>
      <c r="I83" s="5">
        <v>6.35</v>
      </c>
      <c r="J83" s="54">
        <f t="shared" si="8"/>
        <v>6.35</v>
      </c>
      <c r="K83" s="111" t="s">
        <v>38</v>
      </c>
      <c r="L83" s="5">
        <v>3.43</v>
      </c>
      <c r="M83" s="54">
        <f t="shared" si="11"/>
        <v>3.43</v>
      </c>
      <c r="P83" s="140"/>
      <c r="Q83" s="140"/>
      <c r="R83" s="137"/>
      <c r="S83" s="138">
        <f t="shared" si="13"/>
        <v>0</v>
      </c>
      <c r="T83" s="138">
        <f t="shared" si="10"/>
        <v>0</v>
      </c>
      <c r="U83" s="139">
        <f t="shared" si="14"/>
        <v>0</v>
      </c>
      <c r="V83" s="140">
        <f t="shared" si="15"/>
        <v>0</v>
      </c>
    </row>
    <row r="84" spans="1:22" ht="15.75">
      <c r="A84" s="109" t="s">
        <v>240</v>
      </c>
      <c r="B84" s="111" t="s">
        <v>38</v>
      </c>
      <c r="C84" s="120">
        <v>3.85</v>
      </c>
      <c r="D84" s="121">
        <f t="shared" si="9"/>
        <v>3.85</v>
      </c>
      <c r="E84" s="111" t="s">
        <v>38</v>
      </c>
      <c r="F84" s="5">
        <v>3.8</v>
      </c>
      <c r="G84" s="54">
        <f t="shared" si="12"/>
        <v>3.8</v>
      </c>
      <c r="H84" s="111" t="s">
        <v>38</v>
      </c>
      <c r="I84" s="5">
        <v>3.96</v>
      </c>
      <c r="J84" s="54">
        <f t="shared" si="8"/>
        <v>3.96</v>
      </c>
      <c r="K84" s="111" t="s">
        <v>38</v>
      </c>
      <c r="L84" s="5">
        <v>3.16</v>
      </c>
      <c r="M84" s="54">
        <f t="shared" si="11"/>
        <v>3.16</v>
      </c>
      <c r="P84" s="140"/>
      <c r="Q84" s="140"/>
      <c r="R84" s="137"/>
      <c r="S84" s="138">
        <f t="shared" si="13"/>
        <v>0</v>
      </c>
      <c r="T84" s="138">
        <f t="shared" si="10"/>
        <v>0</v>
      </c>
      <c r="U84" s="139">
        <f t="shared" si="14"/>
        <v>0</v>
      </c>
      <c r="V84" s="140">
        <f t="shared" si="15"/>
        <v>0</v>
      </c>
    </row>
    <row r="85" spans="1:22" ht="15.75">
      <c r="A85" s="109" t="s">
        <v>241</v>
      </c>
      <c r="B85" s="111" t="s">
        <v>38</v>
      </c>
      <c r="C85" s="120">
        <v>0.97</v>
      </c>
      <c r="D85" s="121">
        <f t="shared" si="9"/>
        <v>0.97</v>
      </c>
      <c r="E85" s="111" t="s">
        <v>38</v>
      </c>
      <c r="F85" s="5">
        <v>2.2</v>
      </c>
      <c r="G85" s="54">
        <f t="shared" si="12"/>
        <v>2.2</v>
      </c>
      <c r="H85" s="111" t="s">
        <v>38</v>
      </c>
      <c r="I85" s="5">
        <v>1.45</v>
      </c>
      <c r="J85" s="54">
        <f t="shared" si="8"/>
        <v>1.45</v>
      </c>
      <c r="K85" s="111" t="s">
        <v>38</v>
      </c>
      <c r="L85" s="5">
        <v>1.51</v>
      </c>
      <c r="M85" s="54">
        <f t="shared" si="11"/>
        <v>1.51</v>
      </c>
      <c r="P85" s="111"/>
      <c r="Q85" s="116"/>
      <c r="R85" s="137"/>
      <c r="S85" s="138">
        <f t="shared" si="13"/>
        <v>0</v>
      </c>
      <c r="T85" s="138">
        <f t="shared" si="10"/>
        <v>0</v>
      </c>
      <c r="U85" s="139">
        <f t="shared" si="14"/>
        <v>0</v>
      </c>
      <c r="V85" s="140">
        <f t="shared" si="15"/>
        <v>0</v>
      </c>
    </row>
    <row r="86" spans="1:22" ht="25.5">
      <c r="A86" s="109" t="s">
        <v>7</v>
      </c>
      <c r="B86" s="111" t="s">
        <v>41</v>
      </c>
      <c r="C86" s="30">
        <f>D86*1000</f>
        <v>18.849999999999998</v>
      </c>
      <c r="D86" s="30">
        <v>0.01885</v>
      </c>
      <c r="E86" s="111" t="s">
        <v>41</v>
      </c>
      <c r="F86" s="5">
        <f>G86*1000</f>
        <v>22</v>
      </c>
      <c r="G86" s="54">
        <v>0.022</v>
      </c>
      <c r="H86" s="111" t="s">
        <v>367</v>
      </c>
      <c r="I86" s="5">
        <v>32.9</v>
      </c>
      <c r="J86" s="134">
        <f>I86/1500</f>
        <v>0.021933333333333332</v>
      </c>
      <c r="K86" s="104" t="s">
        <v>394</v>
      </c>
      <c r="L86" s="5">
        <v>1.2</v>
      </c>
      <c r="M86" s="54">
        <f>L86/50</f>
        <v>0.024</v>
      </c>
      <c r="P86" s="111"/>
      <c r="Q86" s="116"/>
      <c r="R86" s="137"/>
      <c r="S86" s="138">
        <f t="shared" si="13"/>
        <v>0</v>
      </c>
      <c r="T86" s="138">
        <f t="shared" si="10"/>
        <v>0</v>
      </c>
      <c r="U86" s="139">
        <f t="shared" si="14"/>
        <v>0</v>
      </c>
      <c r="V86" s="140">
        <f t="shared" si="15"/>
        <v>0</v>
      </c>
    </row>
    <row r="87" spans="1:22" ht="25.5">
      <c r="A87" s="109" t="s">
        <v>8</v>
      </c>
      <c r="B87" s="111" t="s">
        <v>290</v>
      </c>
      <c r="C87" s="30">
        <f>D87*300</f>
        <v>18.8499</v>
      </c>
      <c r="D87" s="30">
        <v>0.062833</v>
      </c>
      <c r="E87" s="111" t="s">
        <v>331</v>
      </c>
      <c r="F87" s="5">
        <f>G87*400</f>
        <v>31.6</v>
      </c>
      <c r="G87" s="30">
        <v>0.079</v>
      </c>
      <c r="H87" s="111" t="s">
        <v>114</v>
      </c>
      <c r="I87" s="5">
        <v>24.9</v>
      </c>
      <c r="J87" s="54">
        <f>I87/300</f>
        <v>0.08299999999999999</v>
      </c>
      <c r="K87" s="104" t="s">
        <v>395</v>
      </c>
      <c r="L87" s="30">
        <v>1.99</v>
      </c>
      <c r="M87" s="115">
        <f>L87/20</f>
        <v>0.0995</v>
      </c>
      <c r="P87" s="111"/>
      <c r="Q87" s="116"/>
      <c r="R87" s="137"/>
      <c r="S87" s="138">
        <f t="shared" si="13"/>
        <v>0</v>
      </c>
      <c r="T87" s="138">
        <f t="shared" si="10"/>
        <v>0</v>
      </c>
      <c r="U87" s="139">
        <f t="shared" si="14"/>
        <v>0</v>
      </c>
      <c r="V87" s="140">
        <f t="shared" si="15"/>
        <v>0</v>
      </c>
    </row>
    <row r="88" spans="1:22" ht="15.75">
      <c r="A88" s="109" t="s">
        <v>242</v>
      </c>
      <c r="B88" s="111" t="s">
        <v>38</v>
      </c>
      <c r="C88" s="120">
        <v>1.07</v>
      </c>
      <c r="D88" s="30">
        <f>C88/1</f>
        <v>1.07</v>
      </c>
      <c r="E88" s="111" t="s">
        <v>38</v>
      </c>
      <c r="F88" s="5">
        <v>1.2</v>
      </c>
      <c r="G88" s="5">
        <f>F88/1</f>
        <v>1.2</v>
      </c>
      <c r="H88" s="111" t="s">
        <v>38</v>
      </c>
      <c r="I88" s="5">
        <v>1.68</v>
      </c>
      <c r="J88" s="5">
        <f>I88/1</f>
        <v>1.68</v>
      </c>
      <c r="K88" s="111" t="s">
        <v>38</v>
      </c>
      <c r="L88" s="5">
        <v>0.8</v>
      </c>
      <c r="M88" s="5">
        <f>L88/1</f>
        <v>0.8</v>
      </c>
      <c r="P88" s="116"/>
      <c r="Q88" s="116"/>
      <c r="R88" s="137"/>
      <c r="S88" s="138">
        <f t="shared" si="13"/>
        <v>0</v>
      </c>
      <c r="T88" s="138">
        <f t="shared" si="10"/>
        <v>0</v>
      </c>
      <c r="U88" s="139">
        <f t="shared" si="14"/>
        <v>0</v>
      </c>
      <c r="V88" s="140">
        <f t="shared" si="15"/>
        <v>0</v>
      </c>
    </row>
    <row r="89" spans="1:22" ht="15.75">
      <c r="A89" s="227" t="s">
        <v>243</v>
      </c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P89" s="140"/>
      <c r="Q89" s="140"/>
      <c r="R89" s="137"/>
      <c r="S89" s="138">
        <f t="shared" si="13"/>
        <v>0</v>
      </c>
      <c r="T89" s="138">
        <f t="shared" si="10"/>
        <v>0</v>
      </c>
      <c r="U89" s="139">
        <f t="shared" si="14"/>
        <v>0</v>
      </c>
      <c r="V89" s="140">
        <f t="shared" si="15"/>
        <v>0</v>
      </c>
    </row>
    <row r="90" spans="1:22" ht="31.5">
      <c r="A90" s="109" t="s">
        <v>244</v>
      </c>
      <c r="B90" s="4" t="s">
        <v>38</v>
      </c>
      <c r="C90" s="5">
        <v>44</v>
      </c>
      <c r="D90" s="5">
        <f>C90/1</f>
        <v>44</v>
      </c>
      <c r="E90" s="4" t="s">
        <v>38</v>
      </c>
      <c r="F90" s="5">
        <v>48</v>
      </c>
      <c r="G90" s="5">
        <f>F90/1</f>
        <v>48</v>
      </c>
      <c r="H90" s="4" t="s">
        <v>38</v>
      </c>
      <c r="I90" s="5">
        <v>31</v>
      </c>
      <c r="J90" s="5">
        <f>I90/1</f>
        <v>31</v>
      </c>
      <c r="K90" s="4" t="s">
        <v>38</v>
      </c>
      <c r="L90" s="5">
        <v>44.5</v>
      </c>
      <c r="M90" s="5">
        <f>L90/1</f>
        <v>44.5</v>
      </c>
      <c r="P90" s="140"/>
      <c r="Q90" s="140"/>
      <c r="R90" s="137"/>
      <c r="S90" s="138">
        <f t="shared" si="13"/>
        <v>0</v>
      </c>
      <c r="T90" s="138">
        <f t="shared" si="10"/>
        <v>0</v>
      </c>
      <c r="U90" s="139">
        <f t="shared" si="14"/>
        <v>0</v>
      </c>
      <c r="V90" s="140">
        <f t="shared" si="15"/>
        <v>0</v>
      </c>
    </row>
    <row r="91" spans="1:22" ht="15.75">
      <c r="A91" s="109" t="s">
        <v>245</v>
      </c>
      <c r="B91" s="4" t="s">
        <v>38</v>
      </c>
      <c r="C91" s="5">
        <v>1.1</v>
      </c>
      <c r="D91" s="5">
        <f>C91/1</f>
        <v>1.1</v>
      </c>
      <c r="E91" s="4" t="s">
        <v>38</v>
      </c>
      <c r="F91" s="5">
        <v>3.5</v>
      </c>
      <c r="G91" s="5">
        <f>F91/1</f>
        <v>3.5</v>
      </c>
      <c r="H91" s="4" t="s">
        <v>38</v>
      </c>
      <c r="I91" s="5">
        <v>7.9</v>
      </c>
      <c r="J91" s="5">
        <f>I91/1</f>
        <v>7.9</v>
      </c>
      <c r="K91" s="135" t="s">
        <v>298</v>
      </c>
      <c r="L91" s="132"/>
      <c r="M91" s="132"/>
      <c r="P91" s="140"/>
      <c r="Q91" s="140"/>
      <c r="R91" s="137"/>
      <c r="S91" s="138">
        <f t="shared" si="13"/>
        <v>0</v>
      </c>
      <c r="T91" s="138">
        <f t="shared" si="10"/>
        <v>0</v>
      </c>
      <c r="U91" s="139">
        <f t="shared" si="14"/>
        <v>0</v>
      </c>
      <c r="V91" s="140">
        <f t="shared" si="15"/>
        <v>0</v>
      </c>
    </row>
    <row r="92" spans="1:22" ht="15.75">
      <c r="A92" s="109" t="s">
        <v>246</v>
      </c>
      <c r="B92" s="116" t="s">
        <v>291</v>
      </c>
      <c r="C92" s="5">
        <v>3.5</v>
      </c>
      <c r="D92" s="5">
        <f>C92/50</f>
        <v>0.07</v>
      </c>
      <c r="E92" s="116" t="s">
        <v>34</v>
      </c>
      <c r="F92" s="5">
        <v>2.5</v>
      </c>
      <c r="G92" s="54">
        <f>F92/100</f>
        <v>0.025</v>
      </c>
      <c r="H92" s="116" t="s">
        <v>291</v>
      </c>
      <c r="I92" s="5">
        <v>3.5</v>
      </c>
      <c r="J92" s="54">
        <f>I92/50</f>
        <v>0.07</v>
      </c>
      <c r="K92" s="116" t="s">
        <v>291</v>
      </c>
      <c r="L92" s="5">
        <v>3</v>
      </c>
      <c r="M92" s="54">
        <f>L92/50</f>
        <v>0.06</v>
      </c>
      <c r="P92" s="140"/>
      <c r="Q92" s="140"/>
      <c r="R92" s="137"/>
      <c r="S92" s="138">
        <f t="shared" si="13"/>
        <v>0</v>
      </c>
      <c r="T92" s="138">
        <f t="shared" si="10"/>
        <v>0</v>
      </c>
      <c r="U92" s="139">
        <f t="shared" si="14"/>
        <v>0</v>
      </c>
      <c r="V92" s="140">
        <f t="shared" si="15"/>
        <v>0</v>
      </c>
    </row>
    <row r="93" spans="1:22" ht="15.75">
      <c r="A93" s="109" t="s">
        <v>259</v>
      </c>
      <c r="B93" s="116" t="s">
        <v>332</v>
      </c>
      <c r="C93" s="5">
        <v>22.05</v>
      </c>
      <c r="D93" s="5">
        <f>C93/1</f>
        <v>22.05</v>
      </c>
      <c r="E93" s="116" t="s">
        <v>33</v>
      </c>
      <c r="F93" s="5">
        <v>36</v>
      </c>
      <c r="G93" s="5">
        <f>F93/1</f>
        <v>36</v>
      </c>
      <c r="H93" s="116" t="s">
        <v>33</v>
      </c>
      <c r="I93" s="5">
        <v>16.9</v>
      </c>
      <c r="J93" s="5">
        <f>I93/1</f>
        <v>16.9</v>
      </c>
      <c r="K93" s="135" t="s">
        <v>298</v>
      </c>
      <c r="L93" s="132"/>
      <c r="M93" s="132"/>
      <c r="P93" s="140"/>
      <c r="Q93" s="140"/>
      <c r="R93" s="137"/>
      <c r="S93" s="138">
        <f t="shared" si="13"/>
        <v>0</v>
      </c>
      <c r="T93" s="138">
        <f t="shared" si="10"/>
        <v>0</v>
      </c>
      <c r="U93" s="139">
        <f t="shared" si="14"/>
        <v>0</v>
      </c>
      <c r="V93" s="140">
        <f t="shared" si="15"/>
        <v>0</v>
      </c>
    </row>
    <row r="94" spans="1:22" ht="15.75">
      <c r="A94" s="109" t="s">
        <v>247</v>
      </c>
      <c r="B94" s="4" t="s">
        <v>38</v>
      </c>
      <c r="C94" s="5">
        <v>0.55</v>
      </c>
      <c r="D94" s="5">
        <f>C94/1</f>
        <v>0.55</v>
      </c>
      <c r="E94" s="4" t="s">
        <v>37</v>
      </c>
      <c r="F94" s="5">
        <f>G94*25</f>
        <v>16.5</v>
      </c>
      <c r="G94" s="5">
        <v>0.66</v>
      </c>
      <c r="H94" s="4" t="s">
        <v>38</v>
      </c>
      <c r="I94" s="5">
        <v>0.72</v>
      </c>
      <c r="J94" s="5">
        <f>I94/1</f>
        <v>0.72</v>
      </c>
      <c r="K94" s="135" t="s">
        <v>298</v>
      </c>
      <c r="L94" s="132"/>
      <c r="M94" s="132"/>
      <c r="P94" s="140"/>
      <c r="Q94" s="140"/>
      <c r="R94" s="137"/>
      <c r="S94" s="138">
        <f t="shared" si="13"/>
        <v>0</v>
      </c>
      <c r="T94" s="138">
        <f t="shared" si="10"/>
        <v>0</v>
      </c>
      <c r="U94" s="139">
        <f t="shared" si="14"/>
        <v>0</v>
      </c>
      <c r="V94" s="140">
        <f t="shared" si="15"/>
        <v>0</v>
      </c>
    </row>
    <row r="95" spans="1:22" ht="15.75">
      <c r="A95" s="109" t="s">
        <v>248</v>
      </c>
      <c r="B95" s="4" t="s">
        <v>38</v>
      </c>
      <c r="C95" s="5">
        <v>0.55</v>
      </c>
      <c r="D95" s="5">
        <f>C95/1</f>
        <v>0.55</v>
      </c>
      <c r="E95" s="4" t="s">
        <v>298</v>
      </c>
      <c r="F95" s="130" t="s">
        <v>326</v>
      </c>
      <c r="G95" s="130" t="s">
        <v>326</v>
      </c>
      <c r="H95" s="4" t="s">
        <v>38</v>
      </c>
      <c r="I95" s="5">
        <v>0.72</v>
      </c>
      <c r="J95" s="5">
        <f>I95/1</f>
        <v>0.72</v>
      </c>
      <c r="K95" s="4" t="s">
        <v>396</v>
      </c>
      <c r="L95" s="5">
        <v>30.78</v>
      </c>
      <c r="M95" s="5">
        <f>L95/18</f>
        <v>1.71</v>
      </c>
      <c r="P95" s="140"/>
      <c r="Q95" s="140"/>
      <c r="R95" s="137"/>
      <c r="S95" s="138">
        <f t="shared" si="13"/>
        <v>0</v>
      </c>
      <c r="T95" s="138"/>
      <c r="U95" s="139">
        <f t="shared" si="14"/>
        <v>0</v>
      </c>
      <c r="V95" s="140">
        <f t="shared" si="15"/>
        <v>0</v>
      </c>
    </row>
    <row r="96" spans="1:22" ht="25.5">
      <c r="A96" s="109" t="s">
        <v>249</v>
      </c>
      <c r="B96" s="4" t="s">
        <v>38</v>
      </c>
      <c r="C96" s="5">
        <v>1.15</v>
      </c>
      <c r="D96" s="5">
        <f>C96/1</f>
        <v>1.15</v>
      </c>
      <c r="E96" s="4" t="s">
        <v>327</v>
      </c>
      <c r="F96" s="5">
        <f>G96*12</f>
        <v>25.200000000000003</v>
      </c>
      <c r="G96" s="5">
        <v>2.1</v>
      </c>
      <c r="H96" s="4" t="s">
        <v>38</v>
      </c>
      <c r="I96" s="5">
        <v>1.65</v>
      </c>
      <c r="J96" s="5">
        <f>I96/1</f>
        <v>1.65</v>
      </c>
      <c r="K96" s="104" t="s">
        <v>397</v>
      </c>
      <c r="L96" s="5">
        <v>38.28</v>
      </c>
      <c r="M96" s="5">
        <f>L96/12</f>
        <v>3.19</v>
      </c>
      <c r="P96" s="140"/>
      <c r="Q96" s="140"/>
      <c r="R96" s="137"/>
      <c r="S96" s="138">
        <f t="shared" si="13"/>
        <v>0</v>
      </c>
      <c r="T96" s="138">
        <f>Q96*G96</f>
        <v>0</v>
      </c>
      <c r="U96" s="139">
        <f t="shared" si="14"/>
        <v>0</v>
      </c>
      <c r="V96" s="140">
        <f t="shared" si="15"/>
        <v>0</v>
      </c>
    </row>
    <row r="97" spans="1:22" ht="15.75">
      <c r="A97" s="109" t="s">
        <v>250</v>
      </c>
      <c r="B97" s="4" t="s">
        <v>38</v>
      </c>
      <c r="C97" s="5">
        <v>1.85</v>
      </c>
      <c r="D97" s="5">
        <f>C97/1</f>
        <v>1.85</v>
      </c>
      <c r="E97" s="4" t="s">
        <v>327</v>
      </c>
      <c r="F97" s="5">
        <f>G97*12</f>
        <v>30</v>
      </c>
      <c r="G97" s="5">
        <v>2.5</v>
      </c>
      <c r="H97" s="4" t="s">
        <v>38</v>
      </c>
      <c r="I97" s="5">
        <v>1.65</v>
      </c>
      <c r="J97" s="5">
        <f>I97/1</f>
        <v>1.65</v>
      </c>
      <c r="K97" s="104" t="s">
        <v>398</v>
      </c>
      <c r="L97" s="5">
        <v>33.36</v>
      </c>
      <c r="M97" s="5">
        <f>L97/24</f>
        <v>1.39</v>
      </c>
      <c r="P97" s="140"/>
      <c r="Q97" s="140"/>
      <c r="R97" s="137"/>
      <c r="S97" s="138">
        <f t="shared" si="13"/>
        <v>0</v>
      </c>
      <c r="T97" s="138">
        <f>Q97*G97</f>
        <v>0</v>
      </c>
      <c r="U97" s="139">
        <f t="shared" si="14"/>
        <v>0</v>
      </c>
      <c r="V97" s="140">
        <f t="shared" si="15"/>
        <v>0</v>
      </c>
    </row>
    <row r="98" spans="1:22" ht="25.5">
      <c r="A98" s="109" t="s">
        <v>251</v>
      </c>
      <c r="B98" s="116" t="s">
        <v>34</v>
      </c>
      <c r="C98" s="5">
        <v>0.85</v>
      </c>
      <c r="D98" s="115">
        <f>C98/100</f>
        <v>0.0085</v>
      </c>
      <c r="E98" s="116" t="s">
        <v>333</v>
      </c>
      <c r="F98" s="5">
        <f>G98*3000</f>
        <v>26.999999999999996</v>
      </c>
      <c r="G98" s="54">
        <v>0.009</v>
      </c>
      <c r="H98" s="116" t="s">
        <v>34</v>
      </c>
      <c r="I98" s="5">
        <v>0.89</v>
      </c>
      <c r="J98" s="115">
        <f>I98/100</f>
        <v>0.0089</v>
      </c>
      <c r="K98" s="111" t="s">
        <v>399</v>
      </c>
      <c r="L98" s="5">
        <v>1.12</v>
      </c>
      <c r="M98" s="115">
        <f>L98/100</f>
        <v>0.011200000000000002</v>
      </c>
      <c r="P98" s="140"/>
      <c r="Q98" s="140"/>
      <c r="R98" s="137"/>
      <c r="S98" s="138">
        <f t="shared" si="13"/>
        <v>0</v>
      </c>
      <c r="T98" s="138">
        <f>Q98*G98</f>
        <v>0</v>
      </c>
      <c r="U98" s="139">
        <f t="shared" si="14"/>
        <v>0</v>
      </c>
      <c r="V98" s="140">
        <f t="shared" si="15"/>
        <v>0</v>
      </c>
    </row>
    <row r="99" spans="16:22" ht="12.75">
      <c r="P99" s="137"/>
      <c r="Q99" s="137"/>
      <c r="R99" s="137"/>
      <c r="S99" s="136">
        <f>SUM(S6:S98)</f>
        <v>215.61624999999998</v>
      </c>
      <c r="T99" s="136">
        <f>SUM(T6:T98)</f>
        <v>187.05</v>
      </c>
      <c r="U99" s="136">
        <f>SUM(U6:U98)</f>
        <v>177.58095238095237</v>
      </c>
      <c r="V99" s="136">
        <f>SUM(V6:V98)</f>
        <v>248.34617647058826</v>
      </c>
    </row>
  </sheetData>
  <sheetProtection/>
  <mergeCells count="17">
    <mergeCell ref="V4:V5"/>
    <mergeCell ref="A4:A5"/>
    <mergeCell ref="B4:D4"/>
    <mergeCell ref="K4:M4"/>
    <mergeCell ref="U4:U5"/>
    <mergeCell ref="A2:M2"/>
    <mergeCell ref="S4:S5"/>
    <mergeCell ref="T4:T5"/>
    <mergeCell ref="P4:Q5"/>
    <mergeCell ref="A43:M43"/>
    <mergeCell ref="A89:M89"/>
    <mergeCell ref="E4:G4"/>
    <mergeCell ref="H4:J4"/>
    <mergeCell ref="A6:M6"/>
    <mergeCell ref="A18:M18"/>
    <mergeCell ref="A27:M27"/>
    <mergeCell ref="A35:M35"/>
  </mergeCells>
  <printOptions horizontalCentered="1" verticalCentered="1"/>
  <pageMargins left="0.1968503937007874" right="0.1968503937007874" top="0.3937007874015748" bottom="0.7874015748031497" header="0.2362204724409449" footer="0.15748031496062992"/>
  <pageSetup fitToHeight="2" fitToWidth="2" horizontalDpi="600" verticalDpi="600" orientation="portrait" paperSize="8" scale="47" r:id="rId1"/>
  <colBreaks count="1" manualBreakCount="1">
    <brk id="13" max="98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2:V99"/>
  <sheetViews>
    <sheetView view="pageBreakPreview" zoomScale="75" zoomScaleNormal="90" zoomScaleSheetLayoutView="75" zoomScalePageLayoutView="0" workbookViewId="0" topLeftCell="A1">
      <pane xSplit="1" ySplit="5" topLeftCell="B5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3" sqref="B3"/>
    </sheetView>
  </sheetViews>
  <sheetFormatPr defaultColWidth="9.140625" defaultRowHeight="12.75"/>
  <cols>
    <col min="1" max="1" width="69.421875" style="0" customWidth="1"/>
    <col min="2" max="2" width="20.421875" style="0" customWidth="1"/>
    <col min="3" max="3" width="13.140625" style="0" customWidth="1"/>
    <col min="4" max="4" width="12.28125" style="0" customWidth="1"/>
    <col min="5" max="5" width="24.57421875" style="0" customWidth="1"/>
    <col min="6" max="6" width="8.8515625" style="0" customWidth="1"/>
    <col min="7" max="7" width="10.00390625" style="0" customWidth="1"/>
    <col min="8" max="8" width="25.421875" style="0" bestFit="1" customWidth="1"/>
    <col min="9" max="9" width="11.28125" style="0" customWidth="1"/>
    <col min="10" max="10" width="10.57421875" style="0" customWidth="1"/>
    <col min="11" max="11" width="22.8515625" style="0" bestFit="1" customWidth="1"/>
    <col min="12" max="12" width="10.28125" style="0" customWidth="1"/>
    <col min="13" max="13" width="10.8515625" style="0" customWidth="1"/>
    <col min="14" max="14" width="13.8515625" style="0" customWidth="1"/>
    <col min="15" max="15" width="16.7109375" style="0" customWidth="1"/>
    <col min="16" max="16" width="16.28125" style="0" customWidth="1"/>
    <col min="19" max="19" width="11.421875" style="0" bestFit="1" customWidth="1"/>
    <col min="20" max="20" width="14.00390625" style="0" customWidth="1"/>
    <col min="21" max="21" width="11.421875" style="0" bestFit="1" customWidth="1"/>
    <col min="22" max="22" width="11.00390625" style="0" customWidth="1"/>
  </cols>
  <sheetData>
    <row r="1" ht="13.5" thickBot="1"/>
    <row r="2" spans="1:13" ht="18.75" thickBot="1">
      <c r="A2" s="209" t="s">
        <v>321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1"/>
    </row>
    <row r="3" ht="13.5" thickBot="1"/>
    <row r="4" spans="1:22" ht="15.75" customHeight="1">
      <c r="A4" s="218" t="s">
        <v>0</v>
      </c>
      <c r="B4" s="220" t="s">
        <v>29</v>
      </c>
      <c r="C4" s="221"/>
      <c r="D4" s="222"/>
      <c r="E4" s="228" t="s">
        <v>260</v>
      </c>
      <c r="F4" s="229"/>
      <c r="G4" s="230"/>
      <c r="H4" s="231" t="s">
        <v>76</v>
      </c>
      <c r="I4" s="232"/>
      <c r="J4" s="233"/>
      <c r="K4" s="223" t="s">
        <v>78</v>
      </c>
      <c r="L4" s="224"/>
      <c r="M4" s="225"/>
      <c r="N4" s="10"/>
      <c r="P4" s="216" t="s">
        <v>1</v>
      </c>
      <c r="Q4" s="216"/>
      <c r="S4" s="212" t="s">
        <v>57</v>
      </c>
      <c r="T4" s="214" t="s">
        <v>260</v>
      </c>
      <c r="U4" s="226" t="s">
        <v>134</v>
      </c>
      <c r="V4" s="217" t="s">
        <v>138</v>
      </c>
    </row>
    <row r="5" spans="1:22" ht="18.75" customHeight="1">
      <c r="A5" s="219"/>
      <c r="B5" s="64" t="s">
        <v>2</v>
      </c>
      <c r="C5" s="65" t="s">
        <v>3</v>
      </c>
      <c r="D5" s="66" t="s">
        <v>4</v>
      </c>
      <c r="E5" s="67" t="s">
        <v>2</v>
      </c>
      <c r="F5" s="68" t="s">
        <v>3</v>
      </c>
      <c r="G5" s="69" t="s">
        <v>4</v>
      </c>
      <c r="H5" s="70" t="s">
        <v>2</v>
      </c>
      <c r="I5" s="71" t="s">
        <v>3</v>
      </c>
      <c r="J5" s="72" t="s">
        <v>4</v>
      </c>
      <c r="K5" s="76" t="s">
        <v>2</v>
      </c>
      <c r="L5" s="77" t="s">
        <v>3</v>
      </c>
      <c r="M5" s="78" t="s">
        <v>4</v>
      </c>
      <c r="N5" s="11"/>
      <c r="P5" s="216"/>
      <c r="Q5" s="216"/>
      <c r="S5" s="213"/>
      <c r="T5" s="215"/>
      <c r="U5" s="226"/>
      <c r="V5" s="217"/>
    </row>
    <row r="6" spans="1:22" s="28" customFormat="1" ht="25.5" customHeight="1">
      <c r="A6" s="227" t="s">
        <v>252</v>
      </c>
      <c r="B6" s="227"/>
      <c r="C6" s="227"/>
      <c r="D6" s="227"/>
      <c r="E6" s="227"/>
      <c r="F6" s="227"/>
      <c r="G6" s="227"/>
      <c r="H6" s="227"/>
      <c r="I6" s="227"/>
      <c r="J6" s="227"/>
      <c r="K6" s="227"/>
      <c r="L6" s="227"/>
      <c r="M6" s="227"/>
      <c r="N6" s="9"/>
      <c r="P6" s="111"/>
      <c r="Q6" s="116"/>
      <c r="R6" s="137"/>
      <c r="S6" s="138"/>
      <c r="T6" s="138"/>
      <c r="U6" s="139"/>
      <c r="V6" s="140"/>
    </row>
    <row r="7" spans="1:22" s="28" customFormat="1" ht="47.25">
      <c r="A7" s="109" t="s">
        <v>178</v>
      </c>
      <c r="B7" s="111" t="s">
        <v>261</v>
      </c>
      <c r="C7" s="6">
        <v>1.15</v>
      </c>
      <c r="D7" s="54">
        <f>C7/10</f>
        <v>0.11499999999999999</v>
      </c>
      <c r="E7" s="111" t="s">
        <v>292</v>
      </c>
      <c r="F7" s="5">
        <f>G7*10</f>
        <v>1.1</v>
      </c>
      <c r="G7" s="54">
        <v>0.11</v>
      </c>
      <c r="H7" s="111" t="s">
        <v>334</v>
      </c>
      <c r="I7" s="5">
        <v>0.99</v>
      </c>
      <c r="J7" s="54">
        <f>I7/10</f>
        <v>0.099</v>
      </c>
      <c r="K7" s="111" t="s">
        <v>368</v>
      </c>
      <c r="L7" s="5">
        <v>1.59</v>
      </c>
      <c r="M7" s="54">
        <f>L7/10</f>
        <v>0.159</v>
      </c>
      <c r="N7" s="9"/>
      <c r="P7" s="111"/>
      <c r="Q7" s="116"/>
      <c r="R7" s="137"/>
      <c r="S7" s="138">
        <f aca="true" t="shared" si="0" ref="S7:S38">Q7*D7</f>
        <v>0</v>
      </c>
      <c r="T7" s="138">
        <f aca="true" t="shared" si="1" ref="T7:T15">Q7*G7</f>
        <v>0</v>
      </c>
      <c r="U7" s="139">
        <f aca="true" t="shared" si="2" ref="U7:U38">Q7*J7</f>
        <v>0</v>
      </c>
      <c r="V7" s="140">
        <f aca="true" t="shared" si="3" ref="V7:V38">Q7*M7</f>
        <v>0</v>
      </c>
    </row>
    <row r="8" spans="1:22" s="28" customFormat="1" ht="47.25">
      <c r="A8" s="109" t="s">
        <v>26</v>
      </c>
      <c r="B8" s="111" t="s">
        <v>261</v>
      </c>
      <c r="C8" s="6">
        <v>1.15</v>
      </c>
      <c r="D8" s="54">
        <v>0.11499999999999999</v>
      </c>
      <c r="E8" s="111" t="s">
        <v>294</v>
      </c>
      <c r="F8" s="8">
        <f>G8*10</f>
        <v>1</v>
      </c>
      <c r="G8" s="112">
        <v>0.1</v>
      </c>
      <c r="H8" s="111" t="s">
        <v>335</v>
      </c>
      <c r="I8" s="5">
        <v>0.99</v>
      </c>
      <c r="J8" s="54">
        <f>I8/10</f>
        <v>0.099</v>
      </c>
      <c r="K8" s="111" t="s">
        <v>115</v>
      </c>
      <c r="L8" s="5">
        <v>13.4</v>
      </c>
      <c r="M8" s="115">
        <f>L8/12/10</f>
        <v>0.11166666666666666</v>
      </c>
      <c r="N8" s="9"/>
      <c r="P8" s="133"/>
      <c r="Q8" s="124"/>
      <c r="R8" s="137"/>
      <c r="S8" s="138">
        <f t="shared" si="0"/>
        <v>0</v>
      </c>
      <c r="T8" s="138">
        <f t="shared" si="1"/>
        <v>0</v>
      </c>
      <c r="U8" s="139">
        <f t="shared" si="2"/>
        <v>0</v>
      </c>
      <c r="V8" s="140">
        <f t="shared" si="3"/>
        <v>0</v>
      </c>
    </row>
    <row r="9" spans="1:22" s="28" customFormat="1" ht="38.25">
      <c r="A9" s="109" t="s">
        <v>179</v>
      </c>
      <c r="B9" s="111" t="s">
        <v>262</v>
      </c>
      <c r="C9" s="6">
        <v>1.23</v>
      </c>
      <c r="D9" s="54">
        <f>C9/4</f>
        <v>0.3075</v>
      </c>
      <c r="E9" s="111" t="s">
        <v>293</v>
      </c>
      <c r="F9" s="5">
        <f>G9*80</f>
        <v>20</v>
      </c>
      <c r="G9" s="54">
        <v>0.25</v>
      </c>
      <c r="H9" s="111" t="s">
        <v>336</v>
      </c>
      <c r="I9" s="5">
        <v>1.3</v>
      </c>
      <c r="J9" s="54">
        <f>I9/4</f>
        <v>0.325</v>
      </c>
      <c r="K9" s="111" t="s">
        <v>369</v>
      </c>
      <c r="L9" s="5">
        <v>25.2</v>
      </c>
      <c r="M9" s="54">
        <f>L9/80</f>
        <v>0.315</v>
      </c>
      <c r="N9" s="9"/>
      <c r="P9" s="133"/>
      <c r="Q9" s="124"/>
      <c r="R9" s="137"/>
      <c r="S9" s="138">
        <f t="shared" si="0"/>
        <v>0</v>
      </c>
      <c r="T9" s="138">
        <f t="shared" si="1"/>
        <v>0</v>
      </c>
      <c r="U9" s="139">
        <f t="shared" si="2"/>
        <v>0</v>
      </c>
      <c r="V9" s="140">
        <f t="shared" si="3"/>
        <v>0</v>
      </c>
    </row>
    <row r="10" spans="1:22" s="28" customFormat="1" ht="63">
      <c r="A10" s="110" t="s">
        <v>180</v>
      </c>
      <c r="B10" s="111" t="s">
        <v>263</v>
      </c>
      <c r="C10" s="6">
        <v>5.05</v>
      </c>
      <c r="D10" s="54">
        <f>C10/2</f>
        <v>2.525</v>
      </c>
      <c r="E10" s="111" t="s">
        <v>295</v>
      </c>
      <c r="F10" s="5">
        <f>G10*2</f>
        <v>6</v>
      </c>
      <c r="G10" s="54">
        <v>3</v>
      </c>
      <c r="H10" s="111" t="s">
        <v>337</v>
      </c>
      <c r="I10" s="5">
        <v>5.2</v>
      </c>
      <c r="J10" s="54">
        <f>I10/2</f>
        <v>2.6</v>
      </c>
      <c r="K10" s="111" t="s">
        <v>371</v>
      </c>
      <c r="L10" s="5">
        <v>7.85</v>
      </c>
      <c r="M10" s="54">
        <f>L10/2</f>
        <v>3.925</v>
      </c>
      <c r="N10" s="9"/>
      <c r="P10" s="111"/>
      <c r="Q10" s="116"/>
      <c r="R10" s="137"/>
      <c r="S10" s="138">
        <f t="shared" si="0"/>
        <v>0</v>
      </c>
      <c r="T10" s="138">
        <f t="shared" si="1"/>
        <v>0</v>
      </c>
      <c r="U10" s="139">
        <f t="shared" si="2"/>
        <v>0</v>
      </c>
      <c r="V10" s="140">
        <f t="shared" si="3"/>
        <v>0</v>
      </c>
    </row>
    <row r="11" spans="1:22" s="28" customFormat="1" ht="63">
      <c r="A11" s="110" t="s">
        <v>181</v>
      </c>
      <c r="B11" s="111" t="s">
        <v>263</v>
      </c>
      <c r="C11" s="6">
        <v>5.05</v>
      </c>
      <c r="D11" s="54">
        <f>C11/2</f>
        <v>2.525</v>
      </c>
      <c r="E11" s="111" t="s">
        <v>296</v>
      </c>
      <c r="F11" s="5">
        <f>G11*2</f>
        <v>4.8</v>
      </c>
      <c r="G11" s="54">
        <v>2.4</v>
      </c>
      <c r="H11" s="111" t="s">
        <v>338</v>
      </c>
      <c r="I11" s="5">
        <v>4.99</v>
      </c>
      <c r="J11" s="54">
        <f>I11/2</f>
        <v>2.495</v>
      </c>
      <c r="K11" s="111" t="s">
        <v>370</v>
      </c>
      <c r="L11" s="5">
        <v>5.98</v>
      </c>
      <c r="M11" s="54">
        <f>L11/2</f>
        <v>2.99</v>
      </c>
      <c r="N11" s="9"/>
      <c r="P11" s="140"/>
      <c r="Q11" s="116">
        <v>40</v>
      </c>
      <c r="R11" s="137"/>
      <c r="S11" s="138">
        <f t="shared" si="0"/>
        <v>101</v>
      </c>
      <c r="T11" s="138">
        <f t="shared" si="1"/>
        <v>96</v>
      </c>
      <c r="U11" s="139">
        <f t="shared" si="2"/>
        <v>99.80000000000001</v>
      </c>
      <c r="V11" s="140">
        <f t="shared" si="3"/>
        <v>119.60000000000001</v>
      </c>
    </row>
    <row r="12" spans="1:22" s="28" customFormat="1" ht="31.5" customHeight="1">
      <c r="A12" s="109" t="s">
        <v>182</v>
      </c>
      <c r="B12" s="111" t="s">
        <v>264</v>
      </c>
      <c r="C12" s="6">
        <f>D12*3840</f>
        <v>25.80096</v>
      </c>
      <c r="D12" s="114">
        <v>0.006719</v>
      </c>
      <c r="E12" s="111" t="s">
        <v>297</v>
      </c>
      <c r="F12" s="5">
        <f>G12*3750</f>
        <v>14.25</v>
      </c>
      <c r="G12" s="115">
        <v>0.0038</v>
      </c>
      <c r="H12" s="111" t="s">
        <v>339</v>
      </c>
      <c r="I12" s="5">
        <v>12.5</v>
      </c>
      <c r="J12" s="115">
        <f>I12/3150</f>
        <v>0.003968253968253968</v>
      </c>
      <c r="K12" s="111" t="s">
        <v>372</v>
      </c>
      <c r="L12" s="5">
        <v>21.27</v>
      </c>
      <c r="M12" s="115">
        <f>L12/3060</f>
        <v>0.006950980392156862</v>
      </c>
      <c r="N12" s="9"/>
      <c r="P12" s="111"/>
      <c r="Q12" s="116"/>
      <c r="R12" s="137"/>
      <c r="S12" s="138">
        <f t="shared" si="0"/>
        <v>0</v>
      </c>
      <c r="T12" s="138">
        <f t="shared" si="1"/>
        <v>0</v>
      </c>
      <c r="U12" s="139">
        <f t="shared" si="2"/>
        <v>0</v>
      </c>
      <c r="V12" s="140">
        <f t="shared" si="3"/>
        <v>0</v>
      </c>
    </row>
    <row r="13" spans="1:22" s="28" customFormat="1" ht="15.75">
      <c r="A13" s="109" t="s">
        <v>183</v>
      </c>
      <c r="B13" s="111" t="s">
        <v>38</v>
      </c>
      <c r="C13" s="6">
        <v>10.4</v>
      </c>
      <c r="D13" s="54">
        <f>C13</f>
        <v>10.4</v>
      </c>
      <c r="E13" s="104" t="s">
        <v>38</v>
      </c>
      <c r="F13" s="8">
        <v>16</v>
      </c>
      <c r="G13" s="54">
        <f>F13/1</f>
        <v>16</v>
      </c>
      <c r="H13" s="127" t="s">
        <v>38</v>
      </c>
      <c r="I13" s="8">
        <v>15.2</v>
      </c>
      <c r="J13" s="54">
        <f>I13/1</f>
        <v>15.2</v>
      </c>
      <c r="K13" s="131" t="s">
        <v>38</v>
      </c>
      <c r="L13" s="8">
        <v>13.72</v>
      </c>
      <c r="M13" s="54">
        <f>L13/1</f>
        <v>13.72</v>
      </c>
      <c r="N13" s="9"/>
      <c r="P13" s="111"/>
      <c r="Q13" s="116"/>
      <c r="R13" s="137"/>
      <c r="S13" s="138">
        <f t="shared" si="0"/>
        <v>0</v>
      </c>
      <c r="T13" s="138">
        <f t="shared" si="1"/>
        <v>0</v>
      </c>
      <c r="U13" s="139">
        <f t="shared" si="2"/>
        <v>0</v>
      </c>
      <c r="V13" s="140">
        <f t="shared" si="3"/>
        <v>0</v>
      </c>
    </row>
    <row r="14" spans="1:22" s="28" customFormat="1" ht="35.25" customHeight="1">
      <c r="A14" s="109" t="s">
        <v>184</v>
      </c>
      <c r="B14" s="111" t="s">
        <v>38</v>
      </c>
      <c r="C14" s="6">
        <v>8.1</v>
      </c>
      <c r="D14" s="54">
        <f>C14</f>
        <v>8.1</v>
      </c>
      <c r="E14" s="104" t="s">
        <v>38</v>
      </c>
      <c r="F14" s="5">
        <v>6.8</v>
      </c>
      <c r="G14" s="54">
        <f>F14/1</f>
        <v>6.8</v>
      </c>
      <c r="H14" s="104" t="s">
        <v>38</v>
      </c>
      <c r="I14" s="5">
        <v>15.1</v>
      </c>
      <c r="J14" s="54">
        <f>I14/1</f>
        <v>15.1</v>
      </c>
      <c r="K14" s="104" t="s">
        <v>38</v>
      </c>
      <c r="L14" s="5">
        <v>6.6</v>
      </c>
      <c r="M14" s="54">
        <f>L14/1</f>
        <v>6.6</v>
      </c>
      <c r="N14" s="9"/>
      <c r="P14" s="111"/>
      <c r="Q14" s="116"/>
      <c r="R14" s="137"/>
      <c r="S14" s="138">
        <f t="shared" si="0"/>
        <v>0</v>
      </c>
      <c r="T14" s="138">
        <f t="shared" si="1"/>
        <v>0</v>
      </c>
      <c r="U14" s="139">
        <f t="shared" si="2"/>
        <v>0</v>
      </c>
      <c r="V14" s="140">
        <f t="shared" si="3"/>
        <v>0</v>
      </c>
    </row>
    <row r="15" spans="1:22" s="28" customFormat="1" ht="36.75" customHeight="1">
      <c r="A15" s="109" t="s">
        <v>185</v>
      </c>
      <c r="B15" s="111" t="s">
        <v>265</v>
      </c>
      <c r="C15" s="6">
        <v>13.1</v>
      </c>
      <c r="D15" s="54">
        <f>C15</f>
        <v>13.1</v>
      </c>
      <c r="E15" s="104" t="s">
        <v>265</v>
      </c>
      <c r="F15" s="5">
        <v>12.5</v>
      </c>
      <c r="G15" s="54">
        <f>F15/1</f>
        <v>12.5</v>
      </c>
      <c r="H15" s="104" t="s">
        <v>340</v>
      </c>
      <c r="I15" s="5">
        <v>12.5</v>
      </c>
      <c r="J15" s="54">
        <f>I15/1</f>
        <v>12.5</v>
      </c>
      <c r="K15" s="104" t="s">
        <v>38</v>
      </c>
      <c r="L15" s="5">
        <v>9.34</v>
      </c>
      <c r="M15" s="54">
        <f>L15/1</f>
        <v>9.34</v>
      </c>
      <c r="N15" s="9"/>
      <c r="P15" s="111"/>
      <c r="Q15" s="116"/>
      <c r="R15" s="137"/>
      <c r="S15" s="138">
        <f t="shared" si="0"/>
        <v>0</v>
      </c>
      <c r="T15" s="138">
        <f t="shared" si="1"/>
        <v>0</v>
      </c>
      <c r="U15" s="139">
        <f t="shared" si="2"/>
        <v>0</v>
      </c>
      <c r="V15" s="140">
        <f t="shared" si="3"/>
        <v>0</v>
      </c>
    </row>
    <row r="16" spans="1:22" s="28" customFormat="1" ht="35.25" customHeight="1">
      <c r="A16" s="109" t="s">
        <v>186</v>
      </c>
      <c r="B16" s="111" t="s">
        <v>38</v>
      </c>
      <c r="C16" s="6">
        <v>1.4</v>
      </c>
      <c r="D16" s="54">
        <f>C16</f>
        <v>1.4</v>
      </c>
      <c r="E16" s="104" t="s">
        <v>38</v>
      </c>
      <c r="F16" s="122" t="s">
        <v>298</v>
      </c>
      <c r="G16" s="123" t="s">
        <v>298</v>
      </c>
      <c r="H16" s="104" t="s">
        <v>341</v>
      </c>
      <c r="I16" s="128">
        <v>1.45</v>
      </c>
      <c r="J16" s="54">
        <f>I16/1</f>
        <v>1.45</v>
      </c>
      <c r="K16" s="104" t="s">
        <v>373</v>
      </c>
      <c r="L16" s="128">
        <v>1.19</v>
      </c>
      <c r="M16" s="54">
        <f>L16/1</f>
        <v>1.19</v>
      </c>
      <c r="N16" s="9"/>
      <c r="P16" s="111"/>
      <c r="Q16" s="116"/>
      <c r="R16" s="137"/>
      <c r="S16" s="138">
        <f t="shared" si="0"/>
        <v>0</v>
      </c>
      <c r="T16" s="138"/>
      <c r="U16" s="139">
        <f t="shared" si="2"/>
        <v>0</v>
      </c>
      <c r="V16" s="140">
        <f t="shared" si="3"/>
        <v>0</v>
      </c>
    </row>
    <row r="17" spans="1:22" s="28" customFormat="1" ht="25.5" customHeight="1">
      <c r="A17" s="109" t="s">
        <v>187</v>
      </c>
      <c r="B17" s="111" t="s">
        <v>38</v>
      </c>
      <c r="C17" s="6">
        <v>1.4</v>
      </c>
      <c r="D17" s="54">
        <f>C17</f>
        <v>1.4</v>
      </c>
      <c r="E17" s="111" t="s">
        <v>38</v>
      </c>
      <c r="F17" s="5">
        <v>1.3</v>
      </c>
      <c r="G17" s="115">
        <f>F17/1</f>
        <v>1.3</v>
      </c>
      <c r="H17" s="111" t="s">
        <v>38</v>
      </c>
      <c r="I17" s="5">
        <v>1.45</v>
      </c>
      <c r="J17" s="115">
        <f>I17/1</f>
        <v>1.45</v>
      </c>
      <c r="K17" s="111" t="s">
        <v>38</v>
      </c>
      <c r="L17" s="5">
        <v>1.56</v>
      </c>
      <c r="M17" s="115">
        <f>L17/1</f>
        <v>1.56</v>
      </c>
      <c r="N17" s="9"/>
      <c r="P17" s="111"/>
      <c r="Q17" s="116"/>
      <c r="R17" s="137"/>
      <c r="S17" s="138">
        <f t="shared" si="0"/>
        <v>0</v>
      </c>
      <c r="T17" s="138">
        <f aca="true" t="shared" si="4" ref="T17:T54">Q17*G17</f>
        <v>0</v>
      </c>
      <c r="U17" s="139">
        <f t="shared" si="2"/>
        <v>0</v>
      </c>
      <c r="V17" s="140">
        <f t="shared" si="3"/>
        <v>0</v>
      </c>
    </row>
    <row r="18" spans="1:22" s="28" customFormat="1" ht="15.75">
      <c r="A18" s="227" t="s">
        <v>188</v>
      </c>
      <c r="B18" s="227"/>
      <c r="C18" s="227"/>
      <c r="D18" s="227"/>
      <c r="E18" s="227"/>
      <c r="F18" s="227"/>
      <c r="G18" s="227"/>
      <c r="H18" s="227"/>
      <c r="I18" s="227"/>
      <c r="J18" s="227"/>
      <c r="K18" s="227"/>
      <c r="L18" s="227"/>
      <c r="M18" s="227"/>
      <c r="N18" s="9"/>
      <c r="P18" s="133"/>
      <c r="Q18" s="124"/>
      <c r="R18" s="137"/>
      <c r="S18" s="138">
        <f t="shared" si="0"/>
        <v>0</v>
      </c>
      <c r="T18" s="138">
        <f t="shared" si="4"/>
        <v>0</v>
      </c>
      <c r="U18" s="139">
        <f t="shared" si="2"/>
        <v>0</v>
      </c>
      <c r="V18" s="140">
        <f t="shared" si="3"/>
        <v>0</v>
      </c>
    </row>
    <row r="19" spans="1:22" s="28" customFormat="1" ht="47.25">
      <c r="A19" s="109" t="s">
        <v>253</v>
      </c>
      <c r="B19" s="111" t="s">
        <v>266</v>
      </c>
      <c r="C19" s="6">
        <v>1.45</v>
      </c>
      <c r="D19" s="54">
        <f>C19</f>
        <v>1.45</v>
      </c>
      <c r="E19" s="111" t="s">
        <v>299</v>
      </c>
      <c r="F19" s="5">
        <v>1.65</v>
      </c>
      <c r="G19" s="115">
        <f>F19/750*1000</f>
        <v>2.1999999999999997</v>
      </c>
      <c r="H19" s="111" t="s">
        <v>342</v>
      </c>
      <c r="I19" s="5">
        <v>1.09</v>
      </c>
      <c r="J19" s="115">
        <f>I19/750*1000</f>
        <v>1.4533333333333334</v>
      </c>
      <c r="K19" s="111" t="s">
        <v>374</v>
      </c>
      <c r="L19" s="5">
        <v>1.24</v>
      </c>
      <c r="M19" s="115">
        <f>L19/750*1000</f>
        <v>1.6533333333333333</v>
      </c>
      <c r="N19" s="9"/>
      <c r="P19" s="133"/>
      <c r="Q19" s="116"/>
      <c r="R19" s="137"/>
      <c r="S19" s="138">
        <f t="shared" si="0"/>
        <v>0</v>
      </c>
      <c r="T19" s="138">
        <f t="shared" si="4"/>
        <v>0</v>
      </c>
      <c r="U19" s="139">
        <f t="shared" si="2"/>
        <v>0</v>
      </c>
      <c r="V19" s="140">
        <f t="shared" si="3"/>
        <v>0</v>
      </c>
    </row>
    <row r="20" spans="1:22" s="28" customFormat="1" ht="38.25">
      <c r="A20" s="109" t="s">
        <v>254</v>
      </c>
      <c r="B20" s="111" t="s">
        <v>267</v>
      </c>
      <c r="C20" s="6">
        <v>3</v>
      </c>
      <c r="D20" s="54">
        <f>C20/5</f>
        <v>0.6</v>
      </c>
      <c r="E20" s="111" t="s">
        <v>300</v>
      </c>
      <c r="F20" s="5">
        <f>G20*5</f>
        <v>3.5</v>
      </c>
      <c r="G20" s="54">
        <v>0.7</v>
      </c>
      <c r="H20" s="111" t="s">
        <v>343</v>
      </c>
      <c r="I20" s="5">
        <v>1.3</v>
      </c>
      <c r="J20" s="115">
        <f>I20/750*1000</f>
        <v>1.7333333333333334</v>
      </c>
      <c r="K20" s="111" t="s">
        <v>375</v>
      </c>
      <c r="L20" s="5">
        <v>4.24</v>
      </c>
      <c r="M20" s="115">
        <f>L20/5</f>
        <v>0.8480000000000001</v>
      </c>
      <c r="N20" s="9"/>
      <c r="P20" s="111"/>
      <c r="Q20" s="116"/>
      <c r="R20" s="137"/>
      <c r="S20" s="138">
        <f t="shared" si="0"/>
        <v>0</v>
      </c>
      <c r="T20" s="138">
        <f t="shared" si="4"/>
        <v>0</v>
      </c>
      <c r="U20" s="139">
        <f t="shared" si="2"/>
        <v>0</v>
      </c>
      <c r="V20" s="140">
        <f t="shared" si="3"/>
        <v>0</v>
      </c>
    </row>
    <row r="21" spans="1:22" s="28" customFormat="1" ht="38.25">
      <c r="A21" s="109" t="s">
        <v>189</v>
      </c>
      <c r="B21" s="111" t="s">
        <v>268</v>
      </c>
      <c r="C21" s="6">
        <v>0.95</v>
      </c>
      <c r="D21" s="54">
        <f>C21/750*1000</f>
        <v>1.2666666666666666</v>
      </c>
      <c r="E21" s="111" t="s">
        <v>301</v>
      </c>
      <c r="F21" s="5">
        <v>0.85</v>
      </c>
      <c r="G21" s="54">
        <f>F21/750*1000</f>
        <v>1.1333333333333333</v>
      </c>
      <c r="H21" s="111" t="s">
        <v>344</v>
      </c>
      <c r="I21" s="5">
        <v>1.3</v>
      </c>
      <c r="J21" s="115">
        <f>I21/750*1000</f>
        <v>1.7333333333333334</v>
      </c>
      <c r="K21" s="111" t="s">
        <v>376</v>
      </c>
      <c r="L21" s="5">
        <v>1.12</v>
      </c>
      <c r="M21" s="115">
        <f>L21/750*1000</f>
        <v>1.4933333333333334</v>
      </c>
      <c r="N21" s="9"/>
      <c r="P21" s="111"/>
      <c r="Q21" s="116"/>
      <c r="R21" s="137"/>
      <c r="S21" s="138">
        <f t="shared" si="0"/>
        <v>0</v>
      </c>
      <c r="T21" s="138">
        <f t="shared" si="4"/>
        <v>0</v>
      </c>
      <c r="U21" s="139">
        <f t="shared" si="2"/>
        <v>0</v>
      </c>
      <c r="V21" s="140">
        <f t="shared" si="3"/>
        <v>0</v>
      </c>
    </row>
    <row r="22" spans="1:22" s="28" customFormat="1" ht="31.5">
      <c r="A22" s="109" t="s">
        <v>58</v>
      </c>
      <c r="B22" s="111" t="s">
        <v>269</v>
      </c>
      <c r="C22" s="6">
        <v>1.23</v>
      </c>
      <c r="D22" s="54">
        <f>C22/750*1000</f>
        <v>1.64</v>
      </c>
      <c r="E22" s="111" t="s">
        <v>302</v>
      </c>
      <c r="F22" s="5">
        <v>0.95</v>
      </c>
      <c r="G22" s="54">
        <f>F22/500*1000</f>
        <v>1.9</v>
      </c>
      <c r="H22" s="111" t="s">
        <v>345</v>
      </c>
      <c r="I22" s="5">
        <v>0.92</v>
      </c>
      <c r="J22" s="54">
        <f>I22/1</f>
        <v>0.92</v>
      </c>
      <c r="K22" s="111" t="s">
        <v>377</v>
      </c>
      <c r="L22" s="5">
        <v>0.93</v>
      </c>
      <c r="M22" s="54">
        <f>L22/500*1000</f>
        <v>1.86</v>
      </c>
      <c r="N22" s="9"/>
      <c r="P22" s="111"/>
      <c r="Q22" s="116"/>
      <c r="R22" s="137"/>
      <c r="S22" s="138">
        <f t="shared" si="0"/>
        <v>0</v>
      </c>
      <c r="T22" s="138">
        <f t="shared" si="4"/>
        <v>0</v>
      </c>
      <c r="U22" s="139">
        <f t="shared" si="2"/>
        <v>0</v>
      </c>
      <c r="V22" s="140">
        <f t="shared" si="3"/>
        <v>0</v>
      </c>
    </row>
    <row r="23" spans="1:22" s="28" customFormat="1" ht="29.25" customHeight="1">
      <c r="A23" s="109" t="s">
        <v>190</v>
      </c>
      <c r="B23" s="111" t="s">
        <v>270</v>
      </c>
      <c r="C23" s="6">
        <v>1.45</v>
      </c>
      <c r="D23" s="54">
        <f>C23/1</f>
        <v>1.45</v>
      </c>
      <c r="E23" s="111" t="s">
        <v>303</v>
      </c>
      <c r="F23" s="5">
        <v>1.26</v>
      </c>
      <c r="G23" s="54">
        <f>F23/750*1000</f>
        <v>1.6800000000000002</v>
      </c>
      <c r="H23" s="111" t="s">
        <v>270</v>
      </c>
      <c r="I23" s="5">
        <v>1.32</v>
      </c>
      <c r="J23" s="54">
        <f>I23/1</f>
        <v>1.32</v>
      </c>
      <c r="K23" s="111" t="s">
        <v>378</v>
      </c>
      <c r="L23" s="5">
        <v>1.36</v>
      </c>
      <c r="M23" s="54">
        <f>L23/1</f>
        <v>1.36</v>
      </c>
      <c r="N23" s="9"/>
      <c r="P23" s="111"/>
      <c r="Q23" s="116"/>
      <c r="R23" s="137"/>
      <c r="S23" s="138">
        <f t="shared" si="0"/>
        <v>0</v>
      </c>
      <c r="T23" s="138">
        <f t="shared" si="4"/>
        <v>0</v>
      </c>
      <c r="U23" s="139">
        <f t="shared" si="2"/>
        <v>0</v>
      </c>
      <c r="V23" s="140">
        <f t="shared" si="3"/>
        <v>0</v>
      </c>
    </row>
    <row r="24" spans="1:22" s="28" customFormat="1" ht="38.25">
      <c r="A24" s="109" t="s">
        <v>191</v>
      </c>
      <c r="B24" s="111" t="s">
        <v>271</v>
      </c>
      <c r="C24" s="6">
        <v>0.31</v>
      </c>
      <c r="D24" s="54">
        <f>C24/1</f>
        <v>0.31</v>
      </c>
      <c r="E24" s="111" t="s">
        <v>304</v>
      </c>
      <c r="F24" s="5">
        <v>0.33</v>
      </c>
      <c r="G24" s="54">
        <f>F24/1</f>
        <v>0.33</v>
      </c>
      <c r="H24" s="111" t="s">
        <v>346</v>
      </c>
      <c r="I24" s="5">
        <v>0.4</v>
      </c>
      <c r="J24" s="54">
        <f>I24/1</f>
        <v>0.4</v>
      </c>
      <c r="K24" s="111" t="s">
        <v>379</v>
      </c>
      <c r="L24" s="5">
        <v>0.49</v>
      </c>
      <c r="M24" s="54">
        <f>L24/1</f>
        <v>0.49</v>
      </c>
      <c r="N24" s="9"/>
      <c r="P24" s="111"/>
      <c r="Q24" s="116">
        <v>48</v>
      </c>
      <c r="R24" s="137"/>
      <c r="S24" s="138">
        <f t="shared" si="0"/>
        <v>14.879999999999999</v>
      </c>
      <c r="T24" s="138">
        <f t="shared" si="4"/>
        <v>15.84</v>
      </c>
      <c r="U24" s="139">
        <f t="shared" si="2"/>
        <v>19.200000000000003</v>
      </c>
      <c r="V24" s="140">
        <f t="shared" si="3"/>
        <v>23.52</v>
      </c>
    </row>
    <row r="25" spans="1:22" s="28" customFormat="1" ht="25.5">
      <c r="A25" s="109" t="s">
        <v>192</v>
      </c>
      <c r="B25" s="111" t="s">
        <v>272</v>
      </c>
      <c r="C25" s="6">
        <v>0.68</v>
      </c>
      <c r="D25" s="115">
        <f>C25/2</f>
        <v>0.34</v>
      </c>
      <c r="E25" s="111" t="s">
        <v>305</v>
      </c>
      <c r="F25" s="5">
        <v>1.4</v>
      </c>
      <c r="G25" s="54">
        <f>F25/4</f>
        <v>0.35</v>
      </c>
      <c r="H25" s="111" t="s">
        <v>347</v>
      </c>
      <c r="I25" s="5">
        <v>0.64</v>
      </c>
      <c r="J25" s="54">
        <f>I25/2</f>
        <v>0.32</v>
      </c>
      <c r="K25" s="111" t="s">
        <v>380</v>
      </c>
      <c r="L25" s="5">
        <v>0.67</v>
      </c>
      <c r="M25" s="54">
        <f>L25/2</f>
        <v>0.335</v>
      </c>
      <c r="N25" s="9"/>
      <c r="P25" s="111"/>
      <c r="Q25" s="116"/>
      <c r="R25" s="137"/>
      <c r="S25" s="138">
        <f t="shared" si="0"/>
        <v>0</v>
      </c>
      <c r="T25" s="138">
        <f t="shared" si="4"/>
        <v>0</v>
      </c>
      <c r="U25" s="139">
        <f t="shared" si="2"/>
        <v>0</v>
      </c>
      <c r="V25" s="140">
        <f t="shared" si="3"/>
        <v>0</v>
      </c>
    </row>
    <row r="26" spans="1:22" s="28" customFormat="1" ht="30.75" customHeight="1">
      <c r="A26" s="109" t="s">
        <v>193</v>
      </c>
      <c r="B26" s="116" t="s">
        <v>273</v>
      </c>
      <c r="C26" s="6">
        <f>D26*5</f>
        <v>18.25</v>
      </c>
      <c r="D26" s="54">
        <v>3.65</v>
      </c>
      <c r="E26" s="113" t="s">
        <v>306</v>
      </c>
      <c r="F26" s="5">
        <v>7.5</v>
      </c>
      <c r="G26" s="54">
        <f>F26/5</f>
        <v>1.5</v>
      </c>
      <c r="H26" s="113" t="s">
        <v>348</v>
      </c>
      <c r="I26" s="5">
        <v>1.82</v>
      </c>
      <c r="J26" s="54">
        <f>I26/4</f>
        <v>0.455</v>
      </c>
      <c r="K26" s="111" t="s">
        <v>379</v>
      </c>
      <c r="L26" s="5">
        <v>6.95</v>
      </c>
      <c r="M26" s="54">
        <f>L26/1</f>
        <v>6.95</v>
      </c>
      <c r="N26" s="9"/>
      <c r="P26" s="111"/>
      <c r="Q26" s="116"/>
      <c r="R26" s="137"/>
      <c r="S26" s="138">
        <f t="shared" si="0"/>
        <v>0</v>
      </c>
      <c r="T26" s="138">
        <f t="shared" si="4"/>
        <v>0</v>
      </c>
      <c r="U26" s="139">
        <f t="shared" si="2"/>
        <v>0</v>
      </c>
      <c r="V26" s="140">
        <f t="shared" si="3"/>
        <v>0</v>
      </c>
    </row>
    <row r="27" spans="1:22" s="28" customFormat="1" ht="38.25" customHeight="1">
      <c r="A27" s="227" t="s">
        <v>194</v>
      </c>
      <c r="B27" s="227"/>
      <c r="C27" s="227"/>
      <c r="D27" s="227"/>
      <c r="E27" s="227"/>
      <c r="F27" s="227"/>
      <c r="G27" s="227"/>
      <c r="H27" s="227"/>
      <c r="I27" s="227"/>
      <c r="J27" s="227"/>
      <c r="K27" s="227"/>
      <c r="L27" s="227"/>
      <c r="M27" s="227"/>
      <c r="N27" s="9"/>
      <c r="P27" s="111"/>
      <c r="Q27" s="116"/>
      <c r="R27" s="137"/>
      <c r="S27" s="138">
        <f t="shared" si="0"/>
        <v>0</v>
      </c>
      <c r="T27" s="138">
        <f t="shared" si="4"/>
        <v>0</v>
      </c>
      <c r="U27" s="139">
        <f t="shared" si="2"/>
        <v>0</v>
      </c>
      <c r="V27" s="140">
        <f t="shared" si="3"/>
        <v>0</v>
      </c>
    </row>
    <row r="28" spans="1:22" s="28" customFormat="1" ht="31.5">
      <c r="A28" s="109" t="s">
        <v>195</v>
      </c>
      <c r="B28" s="111" t="s">
        <v>274</v>
      </c>
      <c r="C28" s="6">
        <v>2.85</v>
      </c>
      <c r="D28" s="54">
        <f>C28/5</f>
        <v>0.5700000000000001</v>
      </c>
      <c r="E28" s="113" t="s">
        <v>307</v>
      </c>
      <c r="F28" s="5">
        <v>1.8</v>
      </c>
      <c r="G28" s="54">
        <f>F28/4</f>
        <v>0.45</v>
      </c>
      <c r="H28" s="113" t="s">
        <v>349</v>
      </c>
      <c r="I28" s="5">
        <v>2.9</v>
      </c>
      <c r="J28" s="54">
        <f>I28/5</f>
        <v>0.58</v>
      </c>
      <c r="K28" s="111" t="s">
        <v>375</v>
      </c>
      <c r="L28" s="61">
        <v>3.46</v>
      </c>
      <c r="M28" s="115">
        <f>L28/5</f>
        <v>0.692</v>
      </c>
      <c r="N28" s="9"/>
      <c r="P28" s="111"/>
      <c r="Q28" s="116"/>
      <c r="R28" s="137"/>
      <c r="S28" s="138">
        <f t="shared" si="0"/>
        <v>0</v>
      </c>
      <c r="T28" s="138">
        <f t="shared" si="4"/>
        <v>0</v>
      </c>
      <c r="U28" s="139">
        <f t="shared" si="2"/>
        <v>0</v>
      </c>
      <c r="V28" s="140">
        <f t="shared" si="3"/>
        <v>0</v>
      </c>
    </row>
    <row r="29" spans="1:22" s="28" customFormat="1" ht="31.5">
      <c r="A29" s="109" t="s">
        <v>196</v>
      </c>
      <c r="B29" s="111" t="s">
        <v>275</v>
      </c>
      <c r="C29" s="6">
        <v>5.03</v>
      </c>
      <c r="D29" s="54">
        <f>C29/5</f>
        <v>1.006</v>
      </c>
      <c r="E29" s="111" t="s">
        <v>308</v>
      </c>
      <c r="F29" s="5">
        <v>4</v>
      </c>
      <c r="G29" s="54">
        <f>F29/5</f>
        <v>0.8</v>
      </c>
      <c r="H29" s="111" t="s">
        <v>350</v>
      </c>
      <c r="I29" s="5">
        <v>4.45</v>
      </c>
      <c r="J29" s="54">
        <f>I29/5</f>
        <v>0.89</v>
      </c>
      <c r="K29" s="111" t="s">
        <v>381</v>
      </c>
      <c r="L29" s="6">
        <v>8.48</v>
      </c>
      <c r="M29" s="115">
        <f>L29/5</f>
        <v>1.6960000000000002</v>
      </c>
      <c r="N29" s="9"/>
      <c r="P29" s="111"/>
      <c r="Q29" s="116"/>
      <c r="R29" s="137"/>
      <c r="S29" s="138">
        <f t="shared" si="0"/>
        <v>0</v>
      </c>
      <c r="T29" s="138">
        <f t="shared" si="4"/>
        <v>0</v>
      </c>
      <c r="U29" s="139">
        <f t="shared" si="2"/>
        <v>0</v>
      </c>
      <c r="V29" s="140">
        <f t="shared" si="3"/>
        <v>0</v>
      </c>
    </row>
    <row r="30" spans="1:22" s="28" customFormat="1" ht="47.25">
      <c r="A30" s="109" t="s">
        <v>197</v>
      </c>
      <c r="B30" s="111" t="s">
        <v>276</v>
      </c>
      <c r="C30" s="6">
        <v>1.7</v>
      </c>
      <c r="D30" s="54">
        <f>C30/750*1000</f>
        <v>2.2666666666666666</v>
      </c>
      <c r="E30" s="111" t="s">
        <v>309</v>
      </c>
      <c r="F30" s="5">
        <v>1.2</v>
      </c>
      <c r="G30" s="54">
        <f>F30/750*1000</f>
        <v>1.5999999999999999</v>
      </c>
      <c r="H30" s="111" t="s">
        <v>351</v>
      </c>
      <c r="I30" s="5">
        <v>1.09</v>
      </c>
      <c r="J30" s="54">
        <f>I30/750*1000</f>
        <v>1.4533333333333334</v>
      </c>
      <c r="K30" s="111" t="s">
        <v>376</v>
      </c>
      <c r="L30" s="6">
        <v>1.33</v>
      </c>
      <c r="M30" s="54">
        <f>L30/750*1000</f>
        <v>1.7733333333333334</v>
      </c>
      <c r="N30" s="29"/>
      <c r="P30" s="111"/>
      <c r="Q30" s="116"/>
      <c r="R30" s="137"/>
      <c r="S30" s="138">
        <f t="shared" si="0"/>
        <v>0</v>
      </c>
      <c r="T30" s="138">
        <f t="shared" si="4"/>
        <v>0</v>
      </c>
      <c r="U30" s="139">
        <f t="shared" si="2"/>
        <v>0</v>
      </c>
      <c r="V30" s="140">
        <f t="shared" si="3"/>
        <v>0</v>
      </c>
    </row>
    <row r="31" spans="1:22" s="28" customFormat="1" ht="31.5">
      <c r="A31" s="109" t="s">
        <v>198</v>
      </c>
      <c r="B31" s="111" t="s">
        <v>277</v>
      </c>
      <c r="C31" s="7">
        <v>1.03</v>
      </c>
      <c r="D31" s="54">
        <f>C31/750*1000</f>
        <v>1.3733333333333333</v>
      </c>
      <c r="E31" s="111" t="s">
        <v>310</v>
      </c>
      <c r="F31" s="5">
        <v>1.2</v>
      </c>
      <c r="G31" s="54">
        <f>F31/750*1000</f>
        <v>1.5999999999999999</v>
      </c>
      <c r="H31" s="111" t="s">
        <v>352</v>
      </c>
      <c r="I31" s="5">
        <v>0.95</v>
      </c>
      <c r="J31" s="54">
        <f>I31/750*1000</f>
        <v>1.2666666666666666</v>
      </c>
      <c r="K31" s="111" t="s">
        <v>376</v>
      </c>
      <c r="L31" s="5">
        <v>0.89</v>
      </c>
      <c r="M31" s="54">
        <f>L31/750*1000</f>
        <v>1.1866666666666665</v>
      </c>
      <c r="N31" s="29"/>
      <c r="P31" s="116"/>
      <c r="Q31" s="116"/>
      <c r="R31" s="137"/>
      <c r="S31" s="138">
        <f t="shared" si="0"/>
        <v>0</v>
      </c>
      <c r="T31" s="138">
        <f t="shared" si="4"/>
        <v>0</v>
      </c>
      <c r="U31" s="139">
        <f t="shared" si="2"/>
        <v>0</v>
      </c>
      <c r="V31" s="140">
        <f t="shared" si="3"/>
        <v>0</v>
      </c>
    </row>
    <row r="32" spans="1:22" s="28" customFormat="1" ht="31.5">
      <c r="A32" s="109" t="s">
        <v>255</v>
      </c>
      <c r="B32" s="111" t="s">
        <v>278</v>
      </c>
      <c r="C32" s="7">
        <v>3.68</v>
      </c>
      <c r="D32" s="117">
        <f>C32/5</f>
        <v>0.736</v>
      </c>
      <c r="E32" s="111" t="s">
        <v>311</v>
      </c>
      <c r="F32" s="5">
        <v>4.5</v>
      </c>
      <c r="G32" s="54">
        <f>F32/5</f>
        <v>0.9</v>
      </c>
      <c r="H32" s="111" t="s">
        <v>353</v>
      </c>
      <c r="I32" s="5">
        <v>3.15</v>
      </c>
      <c r="J32" s="54">
        <f>I32/5</f>
        <v>0.63</v>
      </c>
      <c r="K32" s="111" t="s">
        <v>381</v>
      </c>
      <c r="L32" s="6">
        <v>3.78</v>
      </c>
      <c r="M32" s="115">
        <f>L32/5</f>
        <v>0.756</v>
      </c>
      <c r="P32" s="111"/>
      <c r="Q32" s="116"/>
      <c r="R32" s="137"/>
      <c r="S32" s="138">
        <f t="shared" si="0"/>
        <v>0</v>
      </c>
      <c r="T32" s="138">
        <f t="shared" si="4"/>
        <v>0</v>
      </c>
      <c r="U32" s="139">
        <f t="shared" si="2"/>
        <v>0</v>
      </c>
      <c r="V32" s="140">
        <f t="shared" si="3"/>
        <v>0</v>
      </c>
    </row>
    <row r="33" spans="1:22" s="28" customFormat="1" ht="38.25">
      <c r="A33" s="109" t="s">
        <v>199</v>
      </c>
      <c r="B33" s="111" t="s">
        <v>279</v>
      </c>
      <c r="C33" s="7">
        <v>6.95</v>
      </c>
      <c r="D33" s="117">
        <f>C33/5</f>
        <v>1.3900000000000001</v>
      </c>
      <c r="E33" s="111" t="s">
        <v>312</v>
      </c>
      <c r="F33" s="5">
        <v>7.5</v>
      </c>
      <c r="G33" s="54">
        <f>F33/5</f>
        <v>1.5</v>
      </c>
      <c r="H33" s="111" t="s">
        <v>354</v>
      </c>
      <c r="I33" s="5">
        <v>3</v>
      </c>
      <c r="J33" s="54">
        <f>I33/4</f>
        <v>0.75</v>
      </c>
      <c r="K33" s="111" t="s">
        <v>375</v>
      </c>
      <c r="L33" s="61">
        <v>8.48</v>
      </c>
      <c r="M33" s="115">
        <f>L33/5</f>
        <v>1.6960000000000002</v>
      </c>
      <c r="P33" s="140"/>
      <c r="Q33" s="116"/>
      <c r="R33" s="137"/>
      <c r="S33" s="138">
        <f t="shared" si="0"/>
        <v>0</v>
      </c>
      <c r="T33" s="138">
        <f t="shared" si="4"/>
        <v>0</v>
      </c>
      <c r="U33" s="139">
        <f t="shared" si="2"/>
        <v>0</v>
      </c>
      <c r="V33" s="140">
        <f t="shared" si="3"/>
        <v>0</v>
      </c>
    </row>
    <row r="34" spans="1:22" s="28" customFormat="1" ht="38.25">
      <c r="A34" s="109" t="s">
        <v>200</v>
      </c>
      <c r="B34" s="111" t="s">
        <v>280</v>
      </c>
      <c r="C34" s="7">
        <v>1.73</v>
      </c>
      <c r="D34" s="118">
        <f>C34/750*1000</f>
        <v>2.3066666666666666</v>
      </c>
      <c r="E34" s="111" t="s">
        <v>313</v>
      </c>
      <c r="F34" s="5">
        <v>2.2</v>
      </c>
      <c r="G34" s="54">
        <f>F34/300*1000</f>
        <v>7.333333333333334</v>
      </c>
      <c r="H34" s="111" t="s">
        <v>355</v>
      </c>
      <c r="I34" s="5">
        <v>1.1</v>
      </c>
      <c r="J34" s="54">
        <f>I34/300*1000</f>
        <v>3.666666666666667</v>
      </c>
      <c r="K34" s="111" t="s">
        <v>382</v>
      </c>
      <c r="L34" s="5">
        <v>4.92</v>
      </c>
      <c r="M34" s="115">
        <f>L34/750*1000</f>
        <v>6.56</v>
      </c>
      <c r="P34" s="140"/>
      <c r="Q34" s="116"/>
      <c r="R34" s="137"/>
      <c r="S34" s="138">
        <f t="shared" si="0"/>
        <v>0</v>
      </c>
      <c r="T34" s="138">
        <f t="shared" si="4"/>
        <v>0</v>
      </c>
      <c r="U34" s="139">
        <f t="shared" si="2"/>
        <v>0</v>
      </c>
      <c r="V34" s="140">
        <f t="shared" si="3"/>
        <v>0</v>
      </c>
    </row>
    <row r="35" spans="1:22" s="28" customFormat="1" ht="15.75">
      <c r="A35" s="227" t="s">
        <v>201</v>
      </c>
      <c r="B35" s="227"/>
      <c r="C35" s="227"/>
      <c r="D35" s="227"/>
      <c r="E35" s="227"/>
      <c r="F35" s="227"/>
      <c r="G35" s="227"/>
      <c r="H35" s="227"/>
      <c r="I35" s="227"/>
      <c r="J35" s="227"/>
      <c r="K35" s="227"/>
      <c r="L35" s="227"/>
      <c r="M35" s="227"/>
      <c r="P35" s="116"/>
      <c r="Q35" s="116"/>
      <c r="R35" s="137"/>
      <c r="S35" s="138">
        <f t="shared" si="0"/>
        <v>0</v>
      </c>
      <c r="T35" s="138">
        <f t="shared" si="4"/>
        <v>0</v>
      </c>
      <c r="U35" s="139">
        <f t="shared" si="2"/>
        <v>0</v>
      </c>
      <c r="V35" s="140">
        <f t="shared" si="3"/>
        <v>0</v>
      </c>
    </row>
    <row r="36" spans="1:22" s="28" customFormat="1" ht="25.5">
      <c r="A36" s="109" t="s">
        <v>202</v>
      </c>
      <c r="B36" s="111" t="s">
        <v>281</v>
      </c>
      <c r="C36" s="7">
        <v>2.99</v>
      </c>
      <c r="D36" s="117">
        <f>C36/5</f>
        <v>0.5980000000000001</v>
      </c>
      <c r="E36" s="111" t="s">
        <v>314</v>
      </c>
      <c r="F36" s="5">
        <f>G36*4</f>
        <v>1.84</v>
      </c>
      <c r="G36" s="54">
        <v>0.46</v>
      </c>
      <c r="H36" s="111" t="s">
        <v>356</v>
      </c>
      <c r="I36" s="5">
        <v>2.6</v>
      </c>
      <c r="J36" s="54">
        <f>I36/5</f>
        <v>0.52</v>
      </c>
      <c r="K36" s="111" t="s">
        <v>375</v>
      </c>
      <c r="L36" s="61">
        <v>3.1</v>
      </c>
      <c r="M36" s="115">
        <f>L36/5</f>
        <v>0.62</v>
      </c>
      <c r="P36" s="140"/>
      <c r="Q36" s="116"/>
      <c r="R36" s="137"/>
      <c r="S36" s="138">
        <f t="shared" si="0"/>
        <v>0</v>
      </c>
      <c r="T36" s="138">
        <f t="shared" si="4"/>
        <v>0</v>
      </c>
      <c r="U36" s="139">
        <f t="shared" si="2"/>
        <v>0</v>
      </c>
      <c r="V36" s="140">
        <f t="shared" si="3"/>
        <v>0</v>
      </c>
    </row>
    <row r="37" spans="1:22" s="28" customFormat="1" ht="31.5">
      <c r="A37" s="109" t="s">
        <v>256</v>
      </c>
      <c r="B37" s="111" t="s">
        <v>282</v>
      </c>
      <c r="C37" s="7">
        <v>18.1</v>
      </c>
      <c r="D37" s="117">
        <f>C37/12</f>
        <v>1.5083333333333335</v>
      </c>
      <c r="E37" s="116" t="s">
        <v>315</v>
      </c>
      <c r="F37" s="5">
        <v>12</v>
      </c>
      <c r="G37" s="54">
        <f>F37/12</f>
        <v>1</v>
      </c>
      <c r="H37" s="111" t="s">
        <v>357</v>
      </c>
      <c r="I37" s="5">
        <v>12.5</v>
      </c>
      <c r="J37" s="54">
        <f>I37/12</f>
        <v>1.0416666666666667</v>
      </c>
      <c r="K37" s="111" t="s">
        <v>381</v>
      </c>
      <c r="L37" s="6">
        <v>6.3</v>
      </c>
      <c r="M37" s="115">
        <f>L37/5</f>
        <v>1.26</v>
      </c>
      <c r="P37" s="140"/>
      <c r="Q37" s="116"/>
      <c r="R37" s="137"/>
      <c r="S37" s="138">
        <f t="shared" si="0"/>
        <v>0</v>
      </c>
      <c r="T37" s="138">
        <f t="shared" si="4"/>
        <v>0</v>
      </c>
      <c r="U37" s="139">
        <f t="shared" si="2"/>
        <v>0</v>
      </c>
      <c r="V37" s="140">
        <f t="shared" si="3"/>
        <v>0</v>
      </c>
    </row>
    <row r="38" spans="1:22" s="28" customFormat="1" ht="31.5">
      <c r="A38" s="109" t="s">
        <v>257</v>
      </c>
      <c r="B38" s="111" t="s">
        <v>283</v>
      </c>
      <c r="C38" s="7">
        <v>14.1</v>
      </c>
      <c r="D38" s="117">
        <f>C38/10</f>
        <v>1.41</v>
      </c>
      <c r="E38" s="116" t="s">
        <v>316</v>
      </c>
      <c r="F38" s="5">
        <v>13</v>
      </c>
      <c r="G38" s="54">
        <f>F38/10</f>
        <v>1.3</v>
      </c>
      <c r="H38" s="111" t="s">
        <v>358</v>
      </c>
      <c r="I38" s="5">
        <v>13.8</v>
      </c>
      <c r="J38" s="54">
        <f>I38/12</f>
        <v>1.1500000000000001</v>
      </c>
      <c r="K38" s="111" t="s">
        <v>381</v>
      </c>
      <c r="L38" s="6">
        <v>5.25</v>
      </c>
      <c r="M38" s="115">
        <f>L38/5</f>
        <v>1.05</v>
      </c>
      <c r="P38" s="116"/>
      <c r="Q38" s="116"/>
      <c r="R38" s="137"/>
      <c r="S38" s="138">
        <f t="shared" si="0"/>
        <v>0</v>
      </c>
      <c r="T38" s="138">
        <f t="shared" si="4"/>
        <v>0</v>
      </c>
      <c r="U38" s="139">
        <f t="shared" si="2"/>
        <v>0</v>
      </c>
      <c r="V38" s="140">
        <f t="shared" si="3"/>
        <v>0</v>
      </c>
    </row>
    <row r="39" spans="1:22" s="28" customFormat="1" ht="30.75" customHeight="1">
      <c r="A39" s="109" t="s">
        <v>203</v>
      </c>
      <c r="B39" s="111" t="s">
        <v>284</v>
      </c>
      <c r="C39" s="7">
        <v>2.15</v>
      </c>
      <c r="D39" s="117">
        <f>C39/750*1000</f>
        <v>2.8666666666666667</v>
      </c>
      <c r="E39" s="111" t="s">
        <v>317</v>
      </c>
      <c r="F39" s="5">
        <v>1.5</v>
      </c>
      <c r="G39" s="54">
        <f>F39/500*1000</f>
        <v>3</v>
      </c>
      <c r="H39" s="129" t="s">
        <v>359</v>
      </c>
      <c r="I39" s="5">
        <v>1.89</v>
      </c>
      <c r="J39" s="54">
        <f>I39/1</f>
        <v>1.89</v>
      </c>
      <c r="K39" s="111" t="s">
        <v>383</v>
      </c>
      <c r="L39" s="5">
        <v>0.89</v>
      </c>
      <c r="M39" s="115">
        <f>L39/750*1000</f>
        <v>1.1866666666666665</v>
      </c>
      <c r="P39" s="140"/>
      <c r="Q39" s="116"/>
      <c r="R39" s="137"/>
      <c r="S39" s="138">
        <f aca="true" t="shared" si="5" ref="S39:S70">Q39*D39</f>
        <v>0</v>
      </c>
      <c r="T39" s="138">
        <f t="shared" si="4"/>
        <v>0</v>
      </c>
      <c r="U39" s="139">
        <f aca="true" t="shared" si="6" ref="U39:U70">Q39*J39</f>
        <v>0</v>
      </c>
      <c r="V39" s="140">
        <f aca="true" t="shared" si="7" ref="V39:V70">Q39*M39</f>
        <v>0</v>
      </c>
    </row>
    <row r="40" spans="1:22" s="28" customFormat="1" ht="38.25">
      <c r="A40" s="109" t="s">
        <v>204</v>
      </c>
      <c r="B40" s="111" t="s">
        <v>285</v>
      </c>
      <c r="C40" s="7">
        <v>4.25</v>
      </c>
      <c r="D40" s="117">
        <f>C40/4</f>
        <v>1.0625</v>
      </c>
      <c r="E40" s="111" t="s">
        <v>318</v>
      </c>
      <c r="F40" s="5">
        <v>5</v>
      </c>
      <c r="G40" s="54">
        <f>F40/5</f>
        <v>1</v>
      </c>
      <c r="H40" s="111" t="s">
        <v>360</v>
      </c>
      <c r="I40" s="5">
        <v>2.39</v>
      </c>
      <c r="J40" s="54">
        <f>I40/4</f>
        <v>0.5975</v>
      </c>
      <c r="K40" s="111" t="s">
        <v>384</v>
      </c>
      <c r="L40" s="5">
        <v>3.39</v>
      </c>
      <c r="M40" s="54">
        <f>L40/3</f>
        <v>1.1300000000000001</v>
      </c>
      <c r="P40" s="140"/>
      <c r="Q40" s="116"/>
      <c r="R40" s="137"/>
      <c r="S40" s="138">
        <f t="shared" si="5"/>
        <v>0</v>
      </c>
      <c r="T40" s="138">
        <f t="shared" si="4"/>
        <v>0</v>
      </c>
      <c r="U40" s="139">
        <f t="shared" si="6"/>
        <v>0</v>
      </c>
      <c r="V40" s="140">
        <f t="shared" si="7"/>
        <v>0</v>
      </c>
    </row>
    <row r="41" spans="1:22" s="28" customFormat="1" ht="25.5">
      <c r="A41" s="109" t="s">
        <v>258</v>
      </c>
      <c r="B41" s="111" t="s">
        <v>286</v>
      </c>
      <c r="C41" s="7">
        <f>D41*20</f>
        <v>25</v>
      </c>
      <c r="D41" s="117">
        <v>1.25</v>
      </c>
      <c r="E41" s="111" t="s">
        <v>319</v>
      </c>
      <c r="F41" s="5">
        <f>G41*5.538</f>
        <v>8.030100000000001</v>
      </c>
      <c r="G41" s="54">
        <v>1.45</v>
      </c>
      <c r="H41" s="129" t="s">
        <v>361</v>
      </c>
      <c r="I41" s="5">
        <v>0.79</v>
      </c>
      <c r="J41" s="54">
        <f>I41/1</f>
        <v>0.79</v>
      </c>
      <c r="K41" s="113" t="s">
        <v>385</v>
      </c>
      <c r="L41" s="5">
        <v>10.65</v>
      </c>
      <c r="M41" s="54">
        <f>L41/8</f>
        <v>1.33125</v>
      </c>
      <c r="P41" s="140"/>
      <c r="Q41" s="116"/>
      <c r="R41" s="137"/>
      <c r="S41" s="138">
        <f t="shared" si="5"/>
        <v>0</v>
      </c>
      <c r="T41" s="138">
        <f t="shared" si="4"/>
        <v>0</v>
      </c>
      <c r="U41" s="139">
        <f t="shared" si="6"/>
        <v>0</v>
      </c>
      <c r="V41" s="140">
        <f t="shared" si="7"/>
        <v>0</v>
      </c>
    </row>
    <row r="42" spans="1:22" s="28" customFormat="1" ht="38.25">
      <c r="A42" s="109" t="s">
        <v>205</v>
      </c>
      <c r="B42" s="111" t="s">
        <v>287</v>
      </c>
      <c r="C42" s="7">
        <f>D42*5.1</f>
        <v>6.119999999999999</v>
      </c>
      <c r="D42" s="117">
        <v>1.2</v>
      </c>
      <c r="E42" s="111" t="s">
        <v>320</v>
      </c>
      <c r="F42" s="5">
        <v>1</v>
      </c>
      <c r="G42" s="54">
        <f>F42/600*1000</f>
        <v>1.6666666666666667</v>
      </c>
      <c r="H42" s="111" t="s">
        <v>362</v>
      </c>
      <c r="I42" s="5">
        <v>1.99</v>
      </c>
      <c r="J42" s="54">
        <f>I42/1</f>
        <v>1.99</v>
      </c>
      <c r="K42" s="111" t="s">
        <v>386</v>
      </c>
      <c r="L42" s="5">
        <v>0.56</v>
      </c>
      <c r="M42" s="54">
        <f>L42/260*1000</f>
        <v>2.153846153846154</v>
      </c>
      <c r="P42" s="140"/>
      <c r="Q42" s="116"/>
      <c r="R42" s="137"/>
      <c r="S42" s="138">
        <f t="shared" si="5"/>
        <v>0</v>
      </c>
      <c r="T42" s="138">
        <f t="shared" si="4"/>
        <v>0</v>
      </c>
      <c r="U42" s="139">
        <f t="shared" si="6"/>
        <v>0</v>
      </c>
      <c r="V42" s="140">
        <f t="shared" si="7"/>
        <v>0</v>
      </c>
    </row>
    <row r="43" spans="1:22" s="28" customFormat="1" ht="15.75">
      <c r="A43" s="227" t="s">
        <v>206</v>
      </c>
      <c r="B43" s="227"/>
      <c r="C43" s="227"/>
      <c r="D43" s="227"/>
      <c r="E43" s="227"/>
      <c r="F43" s="227"/>
      <c r="G43" s="227"/>
      <c r="H43" s="227"/>
      <c r="I43" s="227"/>
      <c r="J43" s="227"/>
      <c r="K43" s="227"/>
      <c r="L43" s="227"/>
      <c r="M43" s="227"/>
      <c r="P43" s="140"/>
      <c r="Q43" s="116"/>
      <c r="R43" s="137"/>
      <c r="S43" s="138">
        <f t="shared" si="5"/>
        <v>0</v>
      </c>
      <c r="T43" s="138">
        <f t="shared" si="4"/>
        <v>0</v>
      </c>
      <c r="U43" s="139">
        <f t="shared" si="6"/>
        <v>0</v>
      </c>
      <c r="V43" s="140">
        <f t="shared" si="7"/>
        <v>0</v>
      </c>
    </row>
    <row r="44" spans="1:22" s="28" customFormat="1" ht="15.75">
      <c r="A44" s="109" t="s">
        <v>61</v>
      </c>
      <c r="B44" s="111" t="s">
        <v>33</v>
      </c>
      <c r="C44" s="7">
        <v>0.49</v>
      </c>
      <c r="D44" s="117">
        <f>C44/1</f>
        <v>0.49</v>
      </c>
      <c r="E44" s="124" t="s">
        <v>322</v>
      </c>
      <c r="F44" s="125">
        <v>0.55</v>
      </c>
      <c r="G44" s="126">
        <f>F44/1</f>
        <v>0.55</v>
      </c>
      <c r="H44" s="124" t="s">
        <v>33</v>
      </c>
      <c r="I44" s="125">
        <v>0.55</v>
      </c>
      <c r="J44" s="126">
        <f>I44/1</f>
        <v>0.55</v>
      </c>
      <c r="K44" s="124" t="s">
        <v>387</v>
      </c>
      <c r="L44" s="125">
        <v>0.42</v>
      </c>
      <c r="M44" s="126">
        <f>L44/1</f>
        <v>0.42</v>
      </c>
      <c r="P44" s="140"/>
      <c r="Q44" s="116"/>
      <c r="R44" s="137"/>
      <c r="S44" s="138">
        <f t="shared" si="5"/>
        <v>0</v>
      </c>
      <c r="T44" s="138">
        <f t="shared" si="4"/>
        <v>0</v>
      </c>
      <c r="U44" s="139">
        <f t="shared" si="6"/>
        <v>0</v>
      </c>
      <c r="V44" s="140">
        <f t="shared" si="7"/>
        <v>0</v>
      </c>
    </row>
    <row r="45" spans="1:22" s="28" customFormat="1" ht="15.75">
      <c r="A45" s="109" t="s">
        <v>207</v>
      </c>
      <c r="B45" s="111" t="s">
        <v>288</v>
      </c>
      <c r="C45" s="7">
        <v>2.98</v>
      </c>
      <c r="D45" s="117">
        <f>C45/100</f>
        <v>0.0298</v>
      </c>
      <c r="E45" s="116" t="s">
        <v>323</v>
      </c>
      <c r="F45" s="5">
        <v>4</v>
      </c>
      <c r="G45" s="54">
        <f>F45/100</f>
        <v>0.04</v>
      </c>
      <c r="H45" s="116" t="s">
        <v>288</v>
      </c>
      <c r="I45" s="5">
        <v>4.4</v>
      </c>
      <c r="J45" s="54">
        <f>I45/100</f>
        <v>0.044000000000000004</v>
      </c>
      <c r="K45" s="116" t="s">
        <v>388</v>
      </c>
      <c r="L45" s="5">
        <v>3.77</v>
      </c>
      <c r="M45" s="115">
        <f>L45/100</f>
        <v>0.0377</v>
      </c>
      <c r="P45" s="133"/>
      <c r="Q45" s="116"/>
      <c r="R45" s="137"/>
      <c r="S45" s="138">
        <f t="shared" si="5"/>
        <v>0</v>
      </c>
      <c r="T45" s="138">
        <f t="shared" si="4"/>
        <v>0</v>
      </c>
      <c r="U45" s="141">
        <f t="shared" si="6"/>
        <v>0</v>
      </c>
      <c r="V45" s="140">
        <f t="shared" si="7"/>
        <v>0</v>
      </c>
    </row>
    <row r="46" spans="1:22" s="28" customFormat="1" ht="15.75">
      <c r="A46" s="109" t="s">
        <v>208</v>
      </c>
      <c r="B46" s="111" t="s">
        <v>93</v>
      </c>
      <c r="C46" s="7">
        <v>0.35</v>
      </c>
      <c r="D46" s="117">
        <f>C46/3</f>
        <v>0.11666666666666665</v>
      </c>
      <c r="E46" s="116" t="s">
        <v>93</v>
      </c>
      <c r="F46" s="54">
        <f>G46*3</f>
        <v>0.5549999999999999</v>
      </c>
      <c r="G46" s="54">
        <v>0.185</v>
      </c>
      <c r="H46" s="116" t="s">
        <v>93</v>
      </c>
      <c r="I46" s="54">
        <v>0.49</v>
      </c>
      <c r="J46" s="54">
        <f>I46/3</f>
        <v>0.16333333333333333</v>
      </c>
      <c r="K46" s="116" t="s">
        <v>93</v>
      </c>
      <c r="L46" s="54">
        <v>0.6</v>
      </c>
      <c r="M46" s="54">
        <f>L46/3</f>
        <v>0.19999999999999998</v>
      </c>
      <c r="P46" s="140"/>
      <c r="Q46" s="116"/>
      <c r="R46" s="137"/>
      <c r="S46" s="138">
        <f t="shared" si="5"/>
        <v>0</v>
      </c>
      <c r="T46" s="138">
        <f t="shared" si="4"/>
        <v>0</v>
      </c>
      <c r="U46" s="139">
        <f t="shared" si="6"/>
        <v>0</v>
      </c>
      <c r="V46" s="140">
        <f t="shared" si="7"/>
        <v>0</v>
      </c>
    </row>
    <row r="47" spans="1:22" s="28" customFormat="1" ht="15.75">
      <c r="A47" s="109" t="s">
        <v>209</v>
      </c>
      <c r="B47" s="111" t="s">
        <v>93</v>
      </c>
      <c r="C47" s="7">
        <v>0.8</v>
      </c>
      <c r="D47" s="117">
        <f>C47/3</f>
        <v>0.26666666666666666</v>
      </c>
      <c r="E47" s="104" t="s">
        <v>93</v>
      </c>
      <c r="F47" s="54">
        <f>G47*3</f>
        <v>0.5700000000000001</v>
      </c>
      <c r="G47" s="54">
        <v>0.19</v>
      </c>
      <c r="H47" s="104" t="s">
        <v>35</v>
      </c>
      <c r="I47" s="54">
        <v>1.3</v>
      </c>
      <c r="J47" s="54">
        <f>I47/5</f>
        <v>0.26</v>
      </c>
      <c r="K47" s="104" t="s">
        <v>36</v>
      </c>
      <c r="L47" s="54">
        <v>2.9</v>
      </c>
      <c r="M47" s="54">
        <f>L47/10</f>
        <v>0.29</v>
      </c>
      <c r="P47" s="140"/>
      <c r="Q47" s="116"/>
      <c r="R47" s="137"/>
      <c r="S47" s="138">
        <f t="shared" si="5"/>
        <v>0</v>
      </c>
      <c r="T47" s="138">
        <f t="shared" si="4"/>
        <v>0</v>
      </c>
      <c r="U47" s="139">
        <f t="shared" si="6"/>
        <v>0</v>
      </c>
      <c r="V47" s="140">
        <f t="shared" si="7"/>
        <v>0</v>
      </c>
    </row>
    <row r="48" spans="1:22" s="28" customFormat="1" ht="31.5">
      <c r="A48" s="109" t="s">
        <v>210</v>
      </c>
      <c r="B48" s="111" t="s">
        <v>36</v>
      </c>
      <c r="C48" s="7">
        <v>4.5</v>
      </c>
      <c r="D48" s="117">
        <f>C48/10</f>
        <v>0.45</v>
      </c>
      <c r="E48" s="116" t="s">
        <v>324</v>
      </c>
      <c r="F48" s="54">
        <f>G48*4</f>
        <v>3.2</v>
      </c>
      <c r="G48" s="54">
        <v>0.8</v>
      </c>
      <c r="H48" s="116" t="s">
        <v>363</v>
      </c>
      <c r="I48" s="54">
        <v>0.99</v>
      </c>
      <c r="J48" s="54">
        <f>I48/2</f>
        <v>0.495</v>
      </c>
      <c r="K48" s="104" t="s">
        <v>36</v>
      </c>
      <c r="L48" s="54">
        <v>5.7</v>
      </c>
      <c r="M48" s="54">
        <f>L48/10</f>
        <v>0.5700000000000001</v>
      </c>
      <c r="P48" s="111"/>
      <c r="Q48" s="116"/>
      <c r="R48" s="137"/>
      <c r="S48" s="138">
        <f t="shared" si="5"/>
        <v>0</v>
      </c>
      <c r="T48" s="138">
        <f t="shared" si="4"/>
        <v>0</v>
      </c>
      <c r="U48" s="139">
        <f t="shared" si="6"/>
        <v>0</v>
      </c>
      <c r="V48" s="140">
        <f t="shared" si="7"/>
        <v>0</v>
      </c>
    </row>
    <row r="49" spans="1:22" s="28" customFormat="1" ht="15.75">
      <c r="A49" s="109" t="s">
        <v>211</v>
      </c>
      <c r="B49" s="111" t="s">
        <v>38</v>
      </c>
      <c r="C49" s="7">
        <v>0.4</v>
      </c>
      <c r="D49" s="117">
        <f>C49/1</f>
        <v>0.4</v>
      </c>
      <c r="E49" s="111" t="s">
        <v>152</v>
      </c>
      <c r="F49" s="54">
        <f>G49*2</f>
        <v>0.574</v>
      </c>
      <c r="G49" s="54">
        <v>0.287</v>
      </c>
      <c r="H49" s="111" t="s">
        <v>38</v>
      </c>
      <c r="I49" s="54">
        <v>0.55</v>
      </c>
      <c r="J49" s="54">
        <f>I49/1</f>
        <v>0.55</v>
      </c>
      <c r="K49" s="104" t="s">
        <v>37</v>
      </c>
      <c r="L49" s="54">
        <v>8.75</v>
      </c>
      <c r="M49" s="54">
        <f>L49/25</f>
        <v>0.35</v>
      </c>
      <c r="P49" s="140"/>
      <c r="Q49" s="116"/>
      <c r="R49" s="137"/>
      <c r="S49" s="138">
        <f t="shared" si="5"/>
        <v>0</v>
      </c>
      <c r="T49" s="138">
        <f t="shared" si="4"/>
        <v>0</v>
      </c>
      <c r="U49" s="139">
        <f t="shared" si="6"/>
        <v>0</v>
      </c>
      <c r="V49" s="140">
        <f t="shared" si="7"/>
        <v>0</v>
      </c>
    </row>
    <row r="50" spans="1:22" ht="15.75">
      <c r="A50" s="109" t="s">
        <v>212</v>
      </c>
      <c r="B50" s="111" t="s">
        <v>288</v>
      </c>
      <c r="C50" s="30">
        <v>2.95</v>
      </c>
      <c r="D50" s="119">
        <f>C50/100</f>
        <v>0.029500000000000002</v>
      </c>
      <c r="E50" s="116" t="s">
        <v>325</v>
      </c>
      <c r="F50" s="5">
        <v>2.8</v>
      </c>
      <c r="G50" s="54">
        <f>F50/100</f>
        <v>0.027999999999999997</v>
      </c>
      <c r="H50" s="116" t="s">
        <v>288</v>
      </c>
      <c r="I50" s="5">
        <v>3.7</v>
      </c>
      <c r="J50" s="54">
        <f>I50/100</f>
        <v>0.037000000000000005</v>
      </c>
      <c r="K50" s="104" t="s">
        <v>36</v>
      </c>
      <c r="L50" s="54">
        <v>11.3</v>
      </c>
      <c r="M50" s="54">
        <f>L50/10</f>
        <v>1.1300000000000001</v>
      </c>
      <c r="P50" s="140"/>
      <c r="Q50" s="140"/>
      <c r="R50" s="137"/>
      <c r="S50" s="138">
        <f t="shared" si="5"/>
        <v>0</v>
      </c>
      <c r="T50" s="138">
        <f t="shared" si="4"/>
        <v>0</v>
      </c>
      <c r="U50" s="139">
        <f t="shared" si="6"/>
        <v>0</v>
      </c>
      <c r="V50" s="140">
        <f t="shared" si="7"/>
        <v>0</v>
      </c>
    </row>
    <row r="51" spans="1:22" ht="25.5">
      <c r="A51" s="109" t="s">
        <v>12</v>
      </c>
      <c r="B51" s="111" t="s">
        <v>38</v>
      </c>
      <c r="C51" s="5">
        <v>0.98</v>
      </c>
      <c r="D51" s="117">
        <f>C51/1</f>
        <v>0.98</v>
      </c>
      <c r="E51" s="116" t="s">
        <v>38</v>
      </c>
      <c r="F51" s="5">
        <v>1.6</v>
      </c>
      <c r="G51" s="54">
        <f>F51/1</f>
        <v>1.6</v>
      </c>
      <c r="H51" s="116" t="s">
        <v>38</v>
      </c>
      <c r="I51" s="5">
        <v>0.9</v>
      </c>
      <c r="J51" s="54">
        <f aca="true" t="shared" si="8" ref="J51:J85">I51/1</f>
        <v>0.9</v>
      </c>
      <c r="K51" s="104" t="s">
        <v>389</v>
      </c>
      <c r="L51" s="54">
        <v>10.77</v>
      </c>
      <c r="M51" s="54">
        <f>L51/100</f>
        <v>0.10769999999999999</v>
      </c>
      <c r="P51" s="140"/>
      <c r="Q51" s="140"/>
      <c r="R51" s="137"/>
      <c r="S51" s="138">
        <f t="shared" si="5"/>
        <v>0</v>
      </c>
      <c r="T51" s="138">
        <f t="shared" si="4"/>
        <v>0</v>
      </c>
      <c r="U51" s="139">
        <f t="shared" si="6"/>
        <v>0</v>
      </c>
      <c r="V51" s="140">
        <f t="shared" si="7"/>
        <v>0</v>
      </c>
    </row>
    <row r="52" spans="1:22" ht="15.75">
      <c r="A52" s="109" t="s">
        <v>213</v>
      </c>
      <c r="B52" s="111" t="s">
        <v>36</v>
      </c>
      <c r="C52" s="30">
        <v>7.55</v>
      </c>
      <c r="D52" s="117">
        <f>C52/10</f>
        <v>0.755</v>
      </c>
      <c r="E52" s="111" t="s">
        <v>93</v>
      </c>
      <c r="F52" s="5">
        <v>2.4</v>
      </c>
      <c r="G52" s="54">
        <f>F52/3</f>
        <v>0.7999999999999999</v>
      </c>
      <c r="H52" s="111" t="s">
        <v>38</v>
      </c>
      <c r="I52" s="5">
        <v>0.65</v>
      </c>
      <c r="J52" s="54">
        <f t="shared" si="8"/>
        <v>0.65</v>
      </c>
      <c r="K52" s="104" t="s">
        <v>36</v>
      </c>
      <c r="L52" s="54">
        <v>6.8</v>
      </c>
      <c r="M52" s="54">
        <f>L52/10</f>
        <v>0.6799999999999999</v>
      </c>
      <c r="P52" s="140"/>
      <c r="Q52" s="140"/>
      <c r="R52" s="137"/>
      <c r="S52" s="138">
        <f t="shared" si="5"/>
        <v>0</v>
      </c>
      <c r="T52" s="138">
        <f t="shared" si="4"/>
        <v>0</v>
      </c>
      <c r="U52" s="139">
        <f t="shared" si="6"/>
        <v>0</v>
      </c>
      <c r="V52" s="140">
        <f t="shared" si="7"/>
        <v>0</v>
      </c>
    </row>
    <row r="53" spans="1:22" ht="15.75">
      <c r="A53" s="109" t="s">
        <v>214</v>
      </c>
      <c r="B53" s="111" t="s">
        <v>38</v>
      </c>
      <c r="C53" s="30">
        <v>0.39</v>
      </c>
      <c r="D53" s="117">
        <f aca="true" t="shared" si="9" ref="D53:D85">C53/1</f>
        <v>0.39</v>
      </c>
      <c r="E53" s="111" t="s">
        <v>37</v>
      </c>
      <c r="F53" s="30">
        <f>G53*25</f>
        <v>21.25</v>
      </c>
      <c r="G53" s="54">
        <v>0.85</v>
      </c>
      <c r="H53" s="111" t="s">
        <v>38</v>
      </c>
      <c r="I53" s="30">
        <v>0.69</v>
      </c>
      <c r="J53" s="54">
        <f t="shared" si="8"/>
        <v>0.69</v>
      </c>
      <c r="K53" s="104" t="s">
        <v>37</v>
      </c>
      <c r="L53" s="54">
        <v>12.25</v>
      </c>
      <c r="M53" s="54">
        <f>L53/25</f>
        <v>0.49</v>
      </c>
      <c r="P53" s="140"/>
      <c r="Q53" s="140"/>
      <c r="R53" s="137"/>
      <c r="S53" s="138">
        <f t="shared" si="5"/>
        <v>0</v>
      </c>
      <c r="T53" s="138">
        <f t="shared" si="4"/>
        <v>0</v>
      </c>
      <c r="U53" s="139">
        <f t="shared" si="6"/>
        <v>0</v>
      </c>
      <c r="V53" s="140">
        <f t="shared" si="7"/>
        <v>0</v>
      </c>
    </row>
    <row r="54" spans="1:22" ht="15.75">
      <c r="A54" s="109" t="s">
        <v>215</v>
      </c>
      <c r="B54" s="111" t="s">
        <v>38</v>
      </c>
      <c r="C54" s="30">
        <v>0.47</v>
      </c>
      <c r="D54" s="117">
        <f t="shared" si="9"/>
        <v>0.47</v>
      </c>
      <c r="E54" s="111" t="s">
        <v>37</v>
      </c>
      <c r="F54" s="5">
        <f>G54*25</f>
        <v>24.5</v>
      </c>
      <c r="G54" s="54">
        <v>0.98</v>
      </c>
      <c r="H54" s="111" t="s">
        <v>38</v>
      </c>
      <c r="I54" s="5">
        <v>0.9</v>
      </c>
      <c r="J54" s="54">
        <f t="shared" si="8"/>
        <v>0.9</v>
      </c>
      <c r="K54" s="104" t="s">
        <v>37</v>
      </c>
      <c r="L54" s="54">
        <v>26.75</v>
      </c>
      <c r="M54" s="54">
        <f>L54/25</f>
        <v>1.07</v>
      </c>
      <c r="P54" s="111"/>
      <c r="Q54" s="116"/>
      <c r="R54" s="137"/>
      <c r="S54" s="138">
        <f t="shared" si="5"/>
        <v>0</v>
      </c>
      <c r="T54" s="138">
        <f t="shared" si="4"/>
        <v>0</v>
      </c>
      <c r="U54" s="139">
        <f t="shared" si="6"/>
        <v>0</v>
      </c>
      <c r="V54" s="140">
        <f t="shared" si="7"/>
        <v>0</v>
      </c>
    </row>
    <row r="55" spans="1:22" ht="15.75">
      <c r="A55" s="109" t="s">
        <v>216</v>
      </c>
      <c r="B55" s="111" t="s">
        <v>38</v>
      </c>
      <c r="C55" s="30">
        <v>0.73</v>
      </c>
      <c r="D55" s="117">
        <f t="shared" si="9"/>
        <v>0.73</v>
      </c>
      <c r="E55" s="111" t="s">
        <v>298</v>
      </c>
      <c r="F55" s="30" t="s">
        <v>326</v>
      </c>
      <c r="G55" s="54" t="s">
        <v>326</v>
      </c>
      <c r="H55" s="111" t="s">
        <v>38</v>
      </c>
      <c r="I55" s="30">
        <v>1.25</v>
      </c>
      <c r="J55" s="54">
        <f t="shared" si="8"/>
        <v>1.25</v>
      </c>
      <c r="K55" s="104" t="s">
        <v>37</v>
      </c>
      <c r="L55" s="54">
        <v>22.75</v>
      </c>
      <c r="M55" s="54">
        <f>L55/25</f>
        <v>0.91</v>
      </c>
      <c r="P55" s="140"/>
      <c r="Q55" s="140"/>
      <c r="R55" s="137"/>
      <c r="S55" s="138">
        <f t="shared" si="5"/>
        <v>0</v>
      </c>
      <c r="T55" s="138"/>
      <c r="U55" s="139">
        <f t="shared" si="6"/>
        <v>0</v>
      </c>
      <c r="V55" s="140">
        <f t="shared" si="7"/>
        <v>0</v>
      </c>
    </row>
    <row r="56" spans="1:22" ht="15.75">
      <c r="A56" s="109" t="s">
        <v>63</v>
      </c>
      <c r="B56" s="111" t="s">
        <v>38</v>
      </c>
      <c r="C56" s="30">
        <v>0.99</v>
      </c>
      <c r="D56" s="117">
        <f t="shared" si="9"/>
        <v>0.99</v>
      </c>
      <c r="E56" s="111" t="s">
        <v>328</v>
      </c>
      <c r="F56" s="5">
        <v>12</v>
      </c>
      <c r="G56" s="54">
        <f>F56/12</f>
        <v>1</v>
      </c>
      <c r="H56" s="111" t="s">
        <v>38</v>
      </c>
      <c r="I56" s="5">
        <v>1.05</v>
      </c>
      <c r="J56" s="54">
        <f t="shared" si="8"/>
        <v>1.05</v>
      </c>
      <c r="K56" s="104" t="s">
        <v>327</v>
      </c>
      <c r="L56" s="54">
        <v>10.92</v>
      </c>
      <c r="M56" s="54">
        <f>L56/12</f>
        <v>0.91</v>
      </c>
      <c r="P56" s="116"/>
      <c r="Q56" s="116"/>
      <c r="R56" s="137"/>
      <c r="S56" s="138">
        <f t="shared" si="5"/>
        <v>0</v>
      </c>
      <c r="T56" s="138">
        <f aca="true" t="shared" si="10" ref="T56:T94">Q56*G56</f>
        <v>0</v>
      </c>
      <c r="U56" s="139">
        <f t="shared" si="6"/>
        <v>0</v>
      </c>
      <c r="V56" s="140">
        <f t="shared" si="7"/>
        <v>0</v>
      </c>
    </row>
    <row r="57" spans="1:22" ht="15.75">
      <c r="A57" s="109" t="s">
        <v>64</v>
      </c>
      <c r="B57" s="111" t="s">
        <v>38</v>
      </c>
      <c r="C57" s="30">
        <v>0.95</v>
      </c>
      <c r="D57" s="117">
        <f t="shared" si="9"/>
        <v>0.95</v>
      </c>
      <c r="E57" s="111" t="s">
        <v>328</v>
      </c>
      <c r="F57" s="5">
        <v>12</v>
      </c>
      <c r="G57" s="54">
        <f>F57/12</f>
        <v>1</v>
      </c>
      <c r="H57" s="111" t="s">
        <v>38</v>
      </c>
      <c r="I57" s="5">
        <v>1.15</v>
      </c>
      <c r="J57" s="54">
        <f t="shared" si="8"/>
        <v>1.15</v>
      </c>
      <c r="K57" s="104" t="s">
        <v>327</v>
      </c>
      <c r="L57" s="54">
        <v>10.08</v>
      </c>
      <c r="M57" s="54">
        <f>L57/12</f>
        <v>0.84</v>
      </c>
      <c r="P57" s="140"/>
      <c r="Q57" s="140"/>
      <c r="R57" s="137"/>
      <c r="S57" s="138">
        <f t="shared" si="5"/>
        <v>0</v>
      </c>
      <c r="T57" s="138">
        <f t="shared" si="10"/>
        <v>0</v>
      </c>
      <c r="U57" s="139">
        <f t="shared" si="6"/>
        <v>0</v>
      </c>
      <c r="V57" s="140">
        <f t="shared" si="7"/>
        <v>0</v>
      </c>
    </row>
    <row r="58" spans="1:22" ht="15.75">
      <c r="A58" s="109" t="s">
        <v>65</v>
      </c>
      <c r="B58" s="111" t="s">
        <v>38</v>
      </c>
      <c r="C58" s="30">
        <v>1.16</v>
      </c>
      <c r="D58" s="117">
        <f t="shared" si="9"/>
        <v>1.16</v>
      </c>
      <c r="E58" s="111" t="s">
        <v>328</v>
      </c>
      <c r="F58" s="5">
        <v>12</v>
      </c>
      <c r="G58" s="54">
        <f>F58/12</f>
        <v>1</v>
      </c>
      <c r="H58" s="111" t="s">
        <v>38</v>
      </c>
      <c r="I58" s="5">
        <v>1.59</v>
      </c>
      <c r="J58" s="54">
        <f t="shared" si="8"/>
        <v>1.59</v>
      </c>
      <c r="K58" s="104" t="s">
        <v>327</v>
      </c>
      <c r="L58" s="54">
        <v>12.96</v>
      </c>
      <c r="M58" s="54">
        <f>L58/12</f>
        <v>1.08</v>
      </c>
      <c r="P58" s="140"/>
      <c r="Q58" s="140"/>
      <c r="R58" s="137"/>
      <c r="S58" s="138">
        <f t="shared" si="5"/>
        <v>0</v>
      </c>
      <c r="T58" s="138">
        <f t="shared" si="10"/>
        <v>0</v>
      </c>
      <c r="U58" s="139">
        <f t="shared" si="6"/>
        <v>0</v>
      </c>
      <c r="V58" s="140">
        <f t="shared" si="7"/>
        <v>0</v>
      </c>
    </row>
    <row r="59" spans="1:22" ht="15.75">
      <c r="A59" s="109" t="s">
        <v>66</v>
      </c>
      <c r="B59" s="111" t="s">
        <v>38</v>
      </c>
      <c r="C59" s="30">
        <v>3.91</v>
      </c>
      <c r="D59" s="117">
        <f t="shared" si="9"/>
        <v>3.91</v>
      </c>
      <c r="E59" s="111" t="s">
        <v>36</v>
      </c>
      <c r="F59" s="5">
        <v>43</v>
      </c>
      <c r="G59" s="54">
        <f>F59/10</f>
        <v>4.3</v>
      </c>
      <c r="H59" s="111" t="s">
        <v>38</v>
      </c>
      <c r="I59" s="5">
        <v>3.9</v>
      </c>
      <c r="J59" s="54">
        <f t="shared" si="8"/>
        <v>3.9</v>
      </c>
      <c r="K59" s="111" t="s">
        <v>38</v>
      </c>
      <c r="L59" s="5">
        <v>3.76</v>
      </c>
      <c r="M59" s="54">
        <f aca="true" t="shared" si="11" ref="M59:M85">L59/1</f>
        <v>3.76</v>
      </c>
      <c r="P59" s="116"/>
      <c r="Q59" s="116"/>
      <c r="R59" s="137"/>
      <c r="S59" s="138">
        <f t="shared" si="5"/>
        <v>0</v>
      </c>
      <c r="T59" s="138">
        <f t="shared" si="10"/>
        <v>0</v>
      </c>
      <c r="U59" s="139">
        <f t="shared" si="6"/>
        <v>0</v>
      </c>
      <c r="V59" s="140">
        <f t="shared" si="7"/>
        <v>0</v>
      </c>
    </row>
    <row r="60" spans="1:22" ht="15.75">
      <c r="A60" s="109" t="s">
        <v>217</v>
      </c>
      <c r="B60" s="111" t="s">
        <v>38</v>
      </c>
      <c r="C60" s="30">
        <v>0.82</v>
      </c>
      <c r="D60" s="117">
        <f t="shared" si="9"/>
        <v>0.82</v>
      </c>
      <c r="E60" s="111" t="s">
        <v>329</v>
      </c>
      <c r="F60" s="5">
        <v>0.8</v>
      </c>
      <c r="G60" s="54">
        <f>F60/1</f>
        <v>0.8</v>
      </c>
      <c r="H60" s="111" t="s">
        <v>364</v>
      </c>
      <c r="I60" s="5">
        <v>0.89</v>
      </c>
      <c r="J60" s="54">
        <f t="shared" si="8"/>
        <v>0.89</v>
      </c>
      <c r="K60" s="111" t="s">
        <v>329</v>
      </c>
      <c r="L60" s="5">
        <v>0.71</v>
      </c>
      <c r="M60" s="54">
        <f t="shared" si="11"/>
        <v>0.71</v>
      </c>
      <c r="P60" s="140"/>
      <c r="Q60" s="140"/>
      <c r="R60" s="137"/>
      <c r="S60" s="138">
        <f t="shared" si="5"/>
        <v>0</v>
      </c>
      <c r="T60" s="138">
        <f t="shared" si="10"/>
        <v>0</v>
      </c>
      <c r="U60" s="139">
        <f t="shared" si="6"/>
        <v>0</v>
      </c>
      <c r="V60" s="140">
        <f t="shared" si="7"/>
        <v>0</v>
      </c>
    </row>
    <row r="61" spans="1:22" ht="15.75">
      <c r="A61" s="109" t="s">
        <v>218</v>
      </c>
      <c r="B61" s="111" t="s">
        <v>38</v>
      </c>
      <c r="C61" s="30">
        <v>4.51</v>
      </c>
      <c r="D61" s="117">
        <f t="shared" si="9"/>
        <v>4.51</v>
      </c>
      <c r="E61" s="111" t="s">
        <v>330</v>
      </c>
      <c r="F61" s="5">
        <v>3.2</v>
      </c>
      <c r="G61" s="54">
        <f>F61/1</f>
        <v>3.2</v>
      </c>
      <c r="H61" s="111" t="s">
        <v>38</v>
      </c>
      <c r="I61" s="5">
        <v>3.99</v>
      </c>
      <c r="J61" s="54">
        <f t="shared" si="8"/>
        <v>3.99</v>
      </c>
      <c r="K61" s="111" t="s">
        <v>38</v>
      </c>
      <c r="L61" s="5">
        <v>3.65</v>
      </c>
      <c r="M61" s="54">
        <f t="shared" si="11"/>
        <v>3.65</v>
      </c>
      <c r="P61" s="140"/>
      <c r="Q61" s="140"/>
      <c r="R61" s="137"/>
      <c r="S61" s="138">
        <f t="shared" si="5"/>
        <v>0</v>
      </c>
      <c r="T61" s="138">
        <f t="shared" si="10"/>
        <v>0</v>
      </c>
      <c r="U61" s="139">
        <f t="shared" si="6"/>
        <v>0</v>
      </c>
      <c r="V61" s="140">
        <f t="shared" si="7"/>
        <v>0</v>
      </c>
    </row>
    <row r="62" spans="1:22" ht="15.75">
      <c r="A62" s="109" t="s">
        <v>219</v>
      </c>
      <c r="B62" s="111" t="s">
        <v>38</v>
      </c>
      <c r="C62" s="30">
        <v>1.1</v>
      </c>
      <c r="D62" s="117">
        <f t="shared" si="9"/>
        <v>1.1</v>
      </c>
      <c r="E62" s="111" t="s">
        <v>327</v>
      </c>
      <c r="F62" s="5">
        <f>G62*12</f>
        <v>14.399999999999999</v>
      </c>
      <c r="G62" s="54">
        <v>1.2</v>
      </c>
      <c r="H62" s="111" t="s">
        <v>38</v>
      </c>
      <c r="I62" s="5">
        <v>1.25</v>
      </c>
      <c r="J62" s="54">
        <f t="shared" si="8"/>
        <v>1.25</v>
      </c>
      <c r="K62" s="111" t="s">
        <v>38</v>
      </c>
      <c r="L62" s="5">
        <v>1.2</v>
      </c>
      <c r="M62" s="54">
        <f t="shared" si="11"/>
        <v>1.2</v>
      </c>
      <c r="P62" s="140"/>
      <c r="Q62" s="140"/>
      <c r="R62" s="137"/>
      <c r="S62" s="138">
        <f t="shared" si="5"/>
        <v>0</v>
      </c>
      <c r="T62" s="138">
        <f t="shared" si="10"/>
        <v>0</v>
      </c>
      <c r="U62" s="139">
        <f t="shared" si="6"/>
        <v>0</v>
      </c>
      <c r="V62" s="140">
        <f t="shared" si="7"/>
        <v>0</v>
      </c>
    </row>
    <row r="63" spans="1:22" ht="15.75">
      <c r="A63" s="109" t="s">
        <v>220</v>
      </c>
      <c r="B63" s="111" t="s">
        <v>38</v>
      </c>
      <c r="C63" s="30">
        <v>11.34</v>
      </c>
      <c r="D63" s="117">
        <f t="shared" si="9"/>
        <v>11.34</v>
      </c>
      <c r="E63" s="111" t="s">
        <v>38</v>
      </c>
      <c r="F63" s="5">
        <v>7.8</v>
      </c>
      <c r="G63" s="54">
        <f>F63/1</f>
        <v>7.8</v>
      </c>
      <c r="H63" s="111" t="s">
        <v>38</v>
      </c>
      <c r="I63" s="5">
        <v>9.22</v>
      </c>
      <c r="J63" s="54">
        <f t="shared" si="8"/>
        <v>9.22</v>
      </c>
      <c r="K63" s="113" t="s">
        <v>38</v>
      </c>
      <c r="L63" s="8">
        <v>8.54</v>
      </c>
      <c r="M63" s="112">
        <f t="shared" si="11"/>
        <v>8.54</v>
      </c>
      <c r="N63" t="s">
        <v>393</v>
      </c>
      <c r="P63" s="140"/>
      <c r="Q63" s="140"/>
      <c r="R63" s="137"/>
      <c r="S63" s="138">
        <f t="shared" si="5"/>
        <v>0</v>
      </c>
      <c r="T63" s="138">
        <f t="shared" si="10"/>
        <v>0</v>
      </c>
      <c r="U63" s="139">
        <f t="shared" si="6"/>
        <v>0</v>
      </c>
      <c r="V63" s="140">
        <f t="shared" si="7"/>
        <v>0</v>
      </c>
    </row>
    <row r="64" spans="1:22" ht="15.75">
      <c r="A64" s="109" t="s">
        <v>221</v>
      </c>
      <c r="B64" s="111" t="s">
        <v>38</v>
      </c>
      <c r="C64" s="30">
        <v>13.33</v>
      </c>
      <c r="D64" s="117">
        <f t="shared" si="9"/>
        <v>13.33</v>
      </c>
      <c r="E64" s="111" t="s">
        <v>38</v>
      </c>
      <c r="F64" s="30">
        <v>8.5</v>
      </c>
      <c r="G64" s="54">
        <f>F64/1</f>
        <v>8.5</v>
      </c>
      <c r="H64" s="111" t="s">
        <v>38</v>
      </c>
      <c r="I64" s="30">
        <v>11.25</v>
      </c>
      <c r="J64" s="54">
        <f t="shared" si="8"/>
        <v>11.25</v>
      </c>
      <c r="K64" s="113" t="s">
        <v>38</v>
      </c>
      <c r="L64" s="8">
        <v>10.18</v>
      </c>
      <c r="M64" s="112">
        <f t="shared" si="11"/>
        <v>10.18</v>
      </c>
      <c r="N64" t="s">
        <v>393</v>
      </c>
      <c r="P64" s="140"/>
      <c r="Q64" s="140"/>
      <c r="R64" s="137"/>
      <c r="S64" s="138">
        <f t="shared" si="5"/>
        <v>0</v>
      </c>
      <c r="T64" s="138">
        <f t="shared" si="10"/>
        <v>0</v>
      </c>
      <c r="U64" s="139">
        <f t="shared" si="6"/>
        <v>0</v>
      </c>
      <c r="V64" s="140">
        <f t="shared" si="7"/>
        <v>0</v>
      </c>
    </row>
    <row r="65" spans="1:22" ht="15.75">
      <c r="A65" s="109" t="s">
        <v>222</v>
      </c>
      <c r="B65" s="111" t="s">
        <v>38</v>
      </c>
      <c r="C65" s="30">
        <v>4.55</v>
      </c>
      <c r="D65" s="117">
        <f t="shared" si="9"/>
        <v>4.55</v>
      </c>
      <c r="E65" s="111" t="s">
        <v>38</v>
      </c>
      <c r="F65" s="30">
        <v>3.8</v>
      </c>
      <c r="G65" s="54">
        <f>F65/1</f>
        <v>3.8</v>
      </c>
      <c r="H65" s="111" t="s">
        <v>38</v>
      </c>
      <c r="I65" s="30">
        <v>2.99</v>
      </c>
      <c r="J65" s="54">
        <f t="shared" si="8"/>
        <v>2.99</v>
      </c>
      <c r="K65" s="113" t="s">
        <v>38</v>
      </c>
      <c r="L65" s="8">
        <v>3.99</v>
      </c>
      <c r="M65" s="112">
        <f t="shared" si="11"/>
        <v>3.99</v>
      </c>
      <c r="P65" s="140"/>
      <c r="Q65" s="140"/>
      <c r="R65" s="137"/>
      <c r="S65" s="138">
        <f t="shared" si="5"/>
        <v>0</v>
      </c>
      <c r="T65" s="138">
        <f t="shared" si="10"/>
        <v>0</v>
      </c>
      <c r="U65" s="139">
        <f t="shared" si="6"/>
        <v>0</v>
      </c>
      <c r="V65" s="140">
        <f t="shared" si="7"/>
        <v>0</v>
      </c>
    </row>
    <row r="66" spans="1:22" ht="15.75">
      <c r="A66" s="109" t="s">
        <v>223</v>
      </c>
      <c r="B66" s="111" t="s">
        <v>38</v>
      </c>
      <c r="C66" s="30">
        <v>5.9</v>
      </c>
      <c r="D66" s="117">
        <f t="shared" si="9"/>
        <v>5.9</v>
      </c>
      <c r="E66" s="111" t="s">
        <v>38</v>
      </c>
      <c r="F66" s="30">
        <v>4.2</v>
      </c>
      <c r="G66" s="54">
        <f>F66/1</f>
        <v>4.2</v>
      </c>
      <c r="H66" s="111" t="s">
        <v>38</v>
      </c>
      <c r="I66" s="30">
        <v>4.38</v>
      </c>
      <c r="J66" s="54">
        <f t="shared" si="8"/>
        <v>4.38</v>
      </c>
      <c r="K66" s="111" t="s">
        <v>38</v>
      </c>
      <c r="L66" s="5">
        <v>5.12</v>
      </c>
      <c r="M66" s="54">
        <f t="shared" si="11"/>
        <v>5.12</v>
      </c>
      <c r="P66" s="140"/>
      <c r="Q66" s="140"/>
      <c r="R66" s="137"/>
      <c r="S66" s="138">
        <f t="shared" si="5"/>
        <v>0</v>
      </c>
      <c r="T66" s="138">
        <f t="shared" si="10"/>
        <v>0</v>
      </c>
      <c r="U66" s="139">
        <f t="shared" si="6"/>
        <v>0</v>
      </c>
      <c r="V66" s="140">
        <f t="shared" si="7"/>
        <v>0</v>
      </c>
    </row>
    <row r="67" spans="1:22" ht="15.75">
      <c r="A67" s="109" t="s">
        <v>224</v>
      </c>
      <c r="B67" s="111" t="s">
        <v>38</v>
      </c>
      <c r="C67" s="30">
        <v>0.97</v>
      </c>
      <c r="D67" s="117">
        <f t="shared" si="9"/>
        <v>0.97</v>
      </c>
      <c r="E67" s="111" t="s">
        <v>327</v>
      </c>
      <c r="F67" s="30">
        <v>12</v>
      </c>
      <c r="G67" s="54">
        <f>F67/12</f>
        <v>1</v>
      </c>
      <c r="H67" s="111" t="s">
        <v>38</v>
      </c>
      <c r="I67" s="30">
        <v>0.85</v>
      </c>
      <c r="J67" s="54">
        <f t="shared" si="8"/>
        <v>0.85</v>
      </c>
      <c r="K67" s="111" t="s">
        <v>390</v>
      </c>
      <c r="L67" s="5">
        <v>0.67</v>
      </c>
      <c r="M67" s="54">
        <f t="shared" si="11"/>
        <v>0.67</v>
      </c>
      <c r="P67" s="140"/>
      <c r="Q67" s="140"/>
      <c r="R67" s="137"/>
      <c r="S67" s="138">
        <f t="shared" si="5"/>
        <v>0</v>
      </c>
      <c r="T67" s="138">
        <f t="shared" si="10"/>
        <v>0</v>
      </c>
      <c r="U67" s="139">
        <f t="shared" si="6"/>
        <v>0</v>
      </c>
      <c r="V67" s="140">
        <f t="shared" si="7"/>
        <v>0</v>
      </c>
    </row>
    <row r="68" spans="1:22" ht="15.75">
      <c r="A68" s="109" t="s">
        <v>225</v>
      </c>
      <c r="B68" s="111" t="s">
        <v>38</v>
      </c>
      <c r="C68" s="120">
        <v>3.41</v>
      </c>
      <c r="D68" s="54">
        <f t="shared" si="9"/>
        <v>3.41</v>
      </c>
      <c r="E68" s="111" t="s">
        <v>38</v>
      </c>
      <c r="F68" s="30">
        <v>1.96</v>
      </c>
      <c r="G68" s="54">
        <f aca="true" t="shared" si="12" ref="G68:G85">F68/1</f>
        <v>1.96</v>
      </c>
      <c r="H68" s="111" t="s">
        <v>38</v>
      </c>
      <c r="I68" s="30">
        <v>2.1</v>
      </c>
      <c r="J68" s="54">
        <f t="shared" si="8"/>
        <v>2.1</v>
      </c>
      <c r="K68" s="111" t="s">
        <v>38</v>
      </c>
      <c r="L68" s="5">
        <v>2.95</v>
      </c>
      <c r="M68" s="54">
        <f t="shared" si="11"/>
        <v>2.95</v>
      </c>
      <c r="P68" s="140"/>
      <c r="Q68" s="140"/>
      <c r="R68" s="137"/>
      <c r="S68" s="138">
        <f t="shared" si="5"/>
        <v>0</v>
      </c>
      <c r="T68" s="138">
        <f t="shared" si="10"/>
        <v>0</v>
      </c>
      <c r="U68" s="139">
        <f t="shared" si="6"/>
        <v>0</v>
      </c>
      <c r="V68" s="140">
        <f t="shared" si="7"/>
        <v>0</v>
      </c>
    </row>
    <row r="69" spans="1:22" ht="15.75">
      <c r="A69" s="109" t="s">
        <v>226</v>
      </c>
      <c r="B69" s="111" t="s">
        <v>38</v>
      </c>
      <c r="C69" s="120">
        <v>2.2</v>
      </c>
      <c r="D69" s="121">
        <f t="shared" si="9"/>
        <v>2.2</v>
      </c>
      <c r="E69" s="111" t="s">
        <v>38</v>
      </c>
      <c r="F69" s="30">
        <v>1.75</v>
      </c>
      <c r="G69" s="30">
        <f t="shared" si="12"/>
        <v>1.75</v>
      </c>
      <c r="H69" s="111" t="s">
        <v>38</v>
      </c>
      <c r="I69" s="30">
        <v>1.95</v>
      </c>
      <c r="J69" s="30">
        <f t="shared" si="8"/>
        <v>1.95</v>
      </c>
      <c r="K69" s="111" t="s">
        <v>38</v>
      </c>
      <c r="L69" s="5">
        <v>1.89</v>
      </c>
      <c r="M69" s="54">
        <f t="shared" si="11"/>
        <v>1.89</v>
      </c>
      <c r="P69" s="140"/>
      <c r="Q69" s="140"/>
      <c r="R69" s="137"/>
      <c r="S69" s="138">
        <f t="shared" si="5"/>
        <v>0</v>
      </c>
      <c r="T69" s="138">
        <f t="shared" si="10"/>
        <v>0</v>
      </c>
      <c r="U69" s="139">
        <f t="shared" si="6"/>
        <v>0</v>
      </c>
      <c r="V69" s="140">
        <f t="shared" si="7"/>
        <v>0</v>
      </c>
    </row>
    <row r="70" spans="1:22" ht="15.75">
      <c r="A70" s="109" t="s">
        <v>227</v>
      </c>
      <c r="B70" s="111" t="s">
        <v>38</v>
      </c>
      <c r="C70" s="120">
        <v>36.4</v>
      </c>
      <c r="D70" s="121">
        <f t="shared" si="9"/>
        <v>36.4</v>
      </c>
      <c r="E70" s="111" t="s">
        <v>38</v>
      </c>
      <c r="F70" s="5">
        <v>29</v>
      </c>
      <c r="G70" s="5">
        <f t="shared" si="12"/>
        <v>29</v>
      </c>
      <c r="H70" s="111" t="s">
        <v>38</v>
      </c>
      <c r="I70" s="5">
        <v>42</v>
      </c>
      <c r="J70" s="5">
        <f t="shared" si="8"/>
        <v>42</v>
      </c>
      <c r="K70" s="111" t="s">
        <v>38</v>
      </c>
      <c r="L70" s="5">
        <v>29.98</v>
      </c>
      <c r="M70" s="54">
        <f t="shared" si="11"/>
        <v>29.98</v>
      </c>
      <c r="P70" s="140"/>
      <c r="Q70" s="140"/>
      <c r="R70" s="137"/>
      <c r="S70" s="138">
        <f t="shared" si="5"/>
        <v>0</v>
      </c>
      <c r="T70" s="138">
        <f t="shared" si="10"/>
        <v>0</v>
      </c>
      <c r="U70" s="139">
        <f t="shared" si="6"/>
        <v>0</v>
      </c>
      <c r="V70" s="140">
        <f t="shared" si="7"/>
        <v>0</v>
      </c>
    </row>
    <row r="71" spans="1:22" ht="15.75">
      <c r="A71" s="109" t="s">
        <v>228</v>
      </c>
      <c r="B71" s="111" t="s">
        <v>38</v>
      </c>
      <c r="C71" s="120">
        <v>74.2</v>
      </c>
      <c r="D71" s="121">
        <f t="shared" si="9"/>
        <v>74.2</v>
      </c>
      <c r="E71" s="111" t="s">
        <v>38</v>
      </c>
      <c r="F71" s="5">
        <v>85</v>
      </c>
      <c r="G71" s="5">
        <f t="shared" si="12"/>
        <v>85</v>
      </c>
      <c r="H71" s="111" t="s">
        <v>38</v>
      </c>
      <c r="I71" s="5">
        <v>68.5</v>
      </c>
      <c r="J71" s="5">
        <f t="shared" si="8"/>
        <v>68.5</v>
      </c>
      <c r="K71" s="111" t="s">
        <v>38</v>
      </c>
      <c r="L71" s="5">
        <v>73.78</v>
      </c>
      <c r="M71" s="54">
        <f t="shared" si="11"/>
        <v>73.78</v>
      </c>
      <c r="P71" s="140"/>
      <c r="Q71" s="140"/>
      <c r="R71" s="137"/>
      <c r="S71" s="138">
        <f aca="true" t="shared" si="13" ref="S71:S98">Q71*D71</f>
        <v>0</v>
      </c>
      <c r="T71" s="138">
        <f t="shared" si="10"/>
        <v>0</v>
      </c>
      <c r="U71" s="139">
        <f aca="true" t="shared" si="14" ref="U71:U98">Q71*J71</f>
        <v>0</v>
      </c>
      <c r="V71" s="140">
        <f aca="true" t="shared" si="15" ref="V71:V98">Q71*M71</f>
        <v>0</v>
      </c>
    </row>
    <row r="72" spans="1:22" ht="15.75">
      <c r="A72" s="109" t="s">
        <v>229</v>
      </c>
      <c r="B72" s="111" t="s">
        <v>38</v>
      </c>
      <c r="C72" s="120">
        <v>1.74</v>
      </c>
      <c r="D72" s="121">
        <f t="shared" si="9"/>
        <v>1.74</v>
      </c>
      <c r="E72" s="111" t="s">
        <v>38</v>
      </c>
      <c r="F72" s="30">
        <v>1.36</v>
      </c>
      <c r="G72" s="5">
        <f t="shared" si="12"/>
        <v>1.36</v>
      </c>
      <c r="H72" s="111" t="s">
        <v>38</v>
      </c>
      <c r="I72" s="30">
        <v>1.35</v>
      </c>
      <c r="J72" s="5">
        <f t="shared" si="8"/>
        <v>1.35</v>
      </c>
      <c r="K72" s="111" t="s">
        <v>38</v>
      </c>
      <c r="L72" s="5">
        <v>1.64</v>
      </c>
      <c r="M72" s="54">
        <f t="shared" si="11"/>
        <v>1.64</v>
      </c>
      <c r="P72" s="140"/>
      <c r="Q72" s="140"/>
      <c r="R72" s="137"/>
      <c r="S72" s="138">
        <f t="shared" si="13"/>
        <v>0</v>
      </c>
      <c r="T72" s="138">
        <f t="shared" si="10"/>
        <v>0</v>
      </c>
      <c r="U72" s="139">
        <f t="shared" si="14"/>
        <v>0</v>
      </c>
      <c r="V72" s="140">
        <f t="shared" si="15"/>
        <v>0</v>
      </c>
    </row>
    <row r="73" spans="1:22" ht="15.75">
      <c r="A73" s="109" t="s">
        <v>230</v>
      </c>
      <c r="B73" s="111" t="s">
        <v>38</v>
      </c>
      <c r="C73" s="120">
        <v>1.74</v>
      </c>
      <c r="D73" s="121">
        <f t="shared" si="9"/>
        <v>1.74</v>
      </c>
      <c r="E73" s="111" t="s">
        <v>38</v>
      </c>
      <c r="F73" s="30">
        <v>1.36</v>
      </c>
      <c r="G73" s="30">
        <f t="shared" si="12"/>
        <v>1.36</v>
      </c>
      <c r="H73" s="111" t="s">
        <v>38</v>
      </c>
      <c r="I73" s="30">
        <v>1.15</v>
      </c>
      <c r="J73" s="30">
        <f t="shared" si="8"/>
        <v>1.15</v>
      </c>
      <c r="K73" s="111" t="s">
        <v>38</v>
      </c>
      <c r="L73" s="5">
        <v>1.41</v>
      </c>
      <c r="M73" s="54">
        <f t="shared" si="11"/>
        <v>1.41</v>
      </c>
      <c r="P73" s="140"/>
      <c r="Q73" s="140"/>
      <c r="R73" s="137"/>
      <c r="S73" s="138">
        <f t="shared" si="13"/>
        <v>0</v>
      </c>
      <c r="T73" s="138">
        <f t="shared" si="10"/>
        <v>0</v>
      </c>
      <c r="U73" s="139">
        <f t="shared" si="14"/>
        <v>0</v>
      </c>
      <c r="V73" s="140">
        <f t="shared" si="15"/>
        <v>0</v>
      </c>
    </row>
    <row r="74" spans="1:22" ht="15.75">
      <c r="A74" s="109" t="s">
        <v>231</v>
      </c>
      <c r="B74" s="111" t="s">
        <v>38</v>
      </c>
      <c r="C74" s="120">
        <v>0.94</v>
      </c>
      <c r="D74" s="121">
        <f t="shared" si="9"/>
        <v>0.94</v>
      </c>
      <c r="E74" s="111" t="s">
        <v>38</v>
      </c>
      <c r="F74" s="5">
        <v>1</v>
      </c>
      <c r="G74" s="54">
        <f t="shared" si="12"/>
        <v>1</v>
      </c>
      <c r="H74" s="111" t="s">
        <v>365</v>
      </c>
      <c r="I74" s="5">
        <v>1.2</v>
      </c>
      <c r="J74" s="54">
        <f t="shared" si="8"/>
        <v>1.2</v>
      </c>
      <c r="K74" s="111" t="s">
        <v>391</v>
      </c>
      <c r="L74" s="5">
        <v>1.15</v>
      </c>
      <c r="M74" s="54">
        <f t="shared" si="11"/>
        <v>1.15</v>
      </c>
      <c r="P74" s="140"/>
      <c r="Q74" s="140"/>
      <c r="R74" s="137"/>
      <c r="S74" s="138">
        <f t="shared" si="13"/>
        <v>0</v>
      </c>
      <c r="T74" s="138">
        <f t="shared" si="10"/>
        <v>0</v>
      </c>
      <c r="U74" s="139">
        <f t="shared" si="14"/>
        <v>0</v>
      </c>
      <c r="V74" s="140">
        <f t="shared" si="15"/>
        <v>0</v>
      </c>
    </row>
    <row r="75" spans="1:22" ht="15.75">
      <c r="A75" s="109" t="s">
        <v>232</v>
      </c>
      <c r="B75" s="111" t="s">
        <v>38</v>
      </c>
      <c r="C75" s="120">
        <v>7.02</v>
      </c>
      <c r="D75" s="121">
        <f t="shared" si="9"/>
        <v>7.02</v>
      </c>
      <c r="E75" s="111" t="s">
        <v>38</v>
      </c>
      <c r="F75" s="5">
        <v>4.3</v>
      </c>
      <c r="G75" s="54">
        <f t="shared" si="12"/>
        <v>4.3</v>
      </c>
      <c r="H75" s="111" t="s">
        <v>38</v>
      </c>
      <c r="I75" s="5">
        <v>2.99</v>
      </c>
      <c r="J75" s="54">
        <f t="shared" si="8"/>
        <v>2.99</v>
      </c>
      <c r="K75" s="111" t="s">
        <v>38</v>
      </c>
      <c r="L75" s="5">
        <v>2.94</v>
      </c>
      <c r="M75" s="54">
        <f t="shared" si="11"/>
        <v>2.94</v>
      </c>
      <c r="P75" s="140"/>
      <c r="Q75" s="140"/>
      <c r="R75" s="137"/>
      <c r="S75" s="138">
        <f t="shared" si="13"/>
        <v>0</v>
      </c>
      <c r="T75" s="138">
        <f t="shared" si="10"/>
        <v>0</v>
      </c>
      <c r="U75" s="139">
        <f t="shared" si="14"/>
        <v>0</v>
      </c>
      <c r="V75" s="140">
        <f t="shared" si="15"/>
        <v>0</v>
      </c>
    </row>
    <row r="76" spans="1:22" ht="15.75">
      <c r="A76" s="109" t="s">
        <v>233</v>
      </c>
      <c r="B76" s="111" t="s">
        <v>38</v>
      </c>
      <c r="C76" s="120">
        <v>1.66</v>
      </c>
      <c r="D76" s="121">
        <f t="shared" si="9"/>
        <v>1.66</v>
      </c>
      <c r="E76" s="111" t="s">
        <v>38</v>
      </c>
      <c r="F76" s="5">
        <v>1.8</v>
      </c>
      <c r="G76" s="54">
        <f t="shared" si="12"/>
        <v>1.8</v>
      </c>
      <c r="H76" s="111" t="s">
        <v>38</v>
      </c>
      <c r="I76" s="5">
        <v>1.89</v>
      </c>
      <c r="J76" s="54">
        <f t="shared" si="8"/>
        <v>1.89</v>
      </c>
      <c r="K76" s="111" t="s">
        <v>38</v>
      </c>
      <c r="L76" s="5">
        <v>1.23</v>
      </c>
      <c r="M76" s="54">
        <f t="shared" si="11"/>
        <v>1.23</v>
      </c>
      <c r="P76" s="140"/>
      <c r="Q76" s="140"/>
      <c r="R76" s="137"/>
      <c r="S76" s="138">
        <f t="shared" si="13"/>
        <v>0</v>
      </c>
      <c r="T76" s="138">
        <f t="shared" si="10"/>
        <v>0</v>
      </c>
      <c r="U76" s="139">
        <f t="shared" si="14"/>
        <v>0</v>
      </c>
      <c r="V76" s="140">
        <f t="shared" si="15"/>
        <v>0</v>
      </c>
    </row>
    <row r="77" spans="1:22" ht="15.75">
      <c r="A77" s="109" t="s">
        <v>234</v>
      </c>
      <c r="B77" s="111" t="s">
        <v>38</v>
      </c>
      <c r="C77" s="120">
        <v>1.95</v>
      </c>
      <c r="D77" s="121">
        <f t="shared" si="9"/>
        <v>1.95</v>
      </c>
      <c r="E77" s="111" t="s">
        <v>38</v>
      </c>
      <c r="F77" s="5">
        <v>3.5</v>
      </c>
      <c r="G77" s="54">
        <f t="shared" si="12"/>
        <v>3.5</v>
      </c>
      <c r="H77" s="111" t="s">
        <v>366</v>
      </c>
      <c r="I77" s="5">
        <v>4.07</v>
      </c>
      <c r="J77" s="54">
        <f t="shared" si="8"/>
        <v>4.07</v>
      </c>
      <c r="K77" s="111" t="s">
        <v>38</v>
      </c>
      <c r="L77" s="5">
        <v>2.23</v>
      </c>
      <c r="M77" s="54">
        <f t="shared" si="11"/>
        <v>2.23</v>
      </c>
      <c r="N77" t="s">
        <v>392</v>
      </c>
      <c r="P77" s="140"/>
      <c r="Q77" s="140"/>
      <c r="R77" s="137"/>
      <c r="S77" s="138">
        <f t="shared" si="13"/>
        <v>0</v>
      </c>
      <c r="T77" s="138">
        <f t="shared" si="10"/>
        <v>0</v>
      </c>
      <c r="U77" s="139">
        <f t="shared" si="14"/>
        <v>0</v>
      </c>
      <c r="V77" s="140">
        <f t="shared" si="15"/>
        <v>0</v>
      </c>
    </row>
    <row r="78" spans="1:22" ht="15.75">
      <c r="A78" s="109" t="s">
        <v>235</v>
      </c>
      <c r="B78" s="111" t="s">
        <v>38</v>
      </c>
      <c r="C78" s="120">
        <v>3.9</v>
      </c>
      <c r="D78" s="121">
        <f t="shared" si="9"/>
        <v>3.9</v>
      </c>
      <c r="E78" s="111" t="s">
        <v>38</v>
      </c>
      <c r="F78" s="5">
        <v>3.9</v>
      </c>
      <c r="G78" s="54">
        <f t="shared" si="12"/>
        <v>3.9</v>
      </c>
      <c r="H78" s="111" t="s">
        <v>38</v>
      </c>
      <c r="I78" s="5">
        <v>1.96</v>
      </c>
      <c r="J78" s="54">
        <f t="shared" si="8"/>
        <v>1.96</v>
      </c>
      <c r="K78" s="111" t="s">
        <v>38</v>
      </c>
      <c r="L78" s="5">
        <v>3.02</v>
      </c>
      <c r="M78" s="54">
        <f t="shared" si="11"/>
        <v>3.02</v>
      </c>
      <c r="P78" s="140"/>
      <c r="Q78" s="140"/>
      <c r="R78" s="137"/>
      <c r="S78" s="138">
        <f t="shared" si="13"/>
        <v>0</v>
      </c>
      <c r="T78" s="138">
        <f t="shared" si="10"/>
        <v>0</v>
      </c>
      <c r="U78" s="139">
        <f t="shared" si="14"/>
        <v>0</v>
      </c>
      <c r="V78" s="140">
        <f t="shared" si="15"/>
        <v>0</v>
      </c>
    </row>
    <row r="79" spans="1:22" ht="25.5">
      <c r="A79" s="109" t="s">
        <v>236</v>
      </c>
      <c r="B79" s="111" t="s">
        <v>289</v>
      </c>
      <c r="C79" s="120">
        <v>15.15</v>
      </c>
      <c r="D79" s="121">
        <f t="shared" si="9"/>
        <v>15.15</v>
      </c>
      <c r="E79" s="111" t="s">
        <v>38</v>
      </c>
      <c r="F79" s="5">
        <v>11</v>
      </c>
      <c r="G79" s="54">
        <f t="shared" si="12"/>
        <v>11</v>
      </c>
      <c r="H79" s="111" t="s">
        <v>38</v>
      </c>
      <c r="I79" s="5">
        <v>2.69</v>
      </c>
      <c r="J79" s="54">
        <f t="shared" si="8"/>
        <v>2.69</v>
      </c>
      <c r="K79" s="111" t="s">
        <v>38</v>
      </c>
      <c r="L79" s="5">
        <v>13.1</v>
      </c>
      <c r="M79" s="54">
        <f t="shared" si="11"/>
        <v>13.1</v>
      </c>
      <c r="P79" s="140"/>
      <c r="Q79" s="140"/>
      <c r="R79" s="137"/>
      <c r="S79" s="138">
        <f t="shared" si="13"/>
        <v>0</v>
      </c>
      <c r="T79" s="138">
        <f t="shared" si="10"/>
        <v>0</v>
      </c>
      <c r="U79" s="139">
        <f t="shared" si="14"/>
        <v>0</v>
      </c>
      <c r="V79" s="140">
        <f t="shared" si="15"/>
        <v>0</v>
      </c>
    </row>
    <row r="80" spans="1:22" ht="15.75">
      <c r="A80" s="109" t="s">
        <v>237</v>
      </c>
      <c r="B80" s="111" t="s">
        <v>38</v>
      </c>
      <c r="C80" s="120">
        <v>1.04</v>
      </c>
      <c r="D80" s="121">
        <f t="shared" si="9"/>
        <v>1.04</v>
      </c>
      <c r="E80" s="111" t="s">
        <v>38</v>
      </c>
      <c r="F80" s="5">
        <v>1.9</v>
      </c>
      <c r="G80" s="54">
        <f t="shared" si="12"/>
        <v>1.9</v>
      </c>
      <c r="H80" s="111" t="s">
        <v>38</v>
      </c>
      <c r="I80" s="5">
        <v>1.99</v>
      </c>
      <c r="J80" s="54">
        <f t="shared" si="8"/>
        <v>1.99</v>
      </c>
      <c r="K80" s="111" t="s">
        <v>38</v>
      </c>
      <c r="L80" s="5">
        <v>1.09</v>
      </c>
      <c r="M80" s="54">
        <f t="shared" si="11"/>
        <v>1.09</v>
      </c>
      <c r="P80" s="140"/>
      <c r="Q80" s="140"/>
      <c r="R80" s="137"/>
      <c r="S80" s="138">
        <f t="shared" si="13"/>
        <v>0</v>
      </c>
      <c r="T80" s="138">
        <f t="shared" si="10"/>
        <v>0</v>
      </c>
      <c r="U80" s="139">
        <f t="shared" si="14"/>
        <v>0</v>
      </c>
      <c r="V80" s="140">
        <f t="shared" si="15"/>
        <v>0</v>
      </c>
    </row>
    <row r="81" spans="1:22" ht="15.75">
      <c r="A81" s="109" t="s">
        <v>16</v>
      </c>
      <c r="B81" s="111" t="s">
        <v>38</v>
      </c>
      <c r="C81" s="120">
        <v>7.35</v>
      </c>
      <c r="D81" s="121">
        <f t="shared" si="9"/>
        <v>7.35</v>
      </c>
      <c r="E81" s="111" t="s">
        <v>38</v>
      </c>
      <c r="F81" s="5">
        <v>6</v>
      </c>
      <c r="G81" s="54">
        <f t="shared" si="12"/>
        <v>6</v>
      </c>
      <c r="H81" s="111" t="s">
        <v>38</v>
      </c>
      <c r="I81" s="5">
        <v>3.5</v>
      </c>
      <c r="J81" s="54">
        <f t="shared" si="8"/>
        <v>3.5</v>
      </c>
      <c r="K81" s="111" t="s">
        <v>38</v>
      </c>
      <c r="L81" s="5">
        <v>5.79</v>
      </c>
      <c r="M81" s="54">
        <f t="shared" si="11"/>
        <v>5.79</v>
      </c>
      <c r="P81" s="140"/>
      <c r="Q81" s="140"/>
      <c r="R81" s="137"/>
      <c r="S81" s="138">
        <f t="shared" si="13"/>
        <v>0</v>
      </c>
      <c r="T81" s="138">
        <f t="shared" si="10"/>
        <v>0</v>
      </c>
      <c r="U81" s="139">
        <f t="shared" si="14"/>
        <v>0</v>
      </c>
      <c r="V81" s="140">
        <f t="shared" si="15"/>
        <v>0</v>
      </c>
    </row>
    <row r="82" spans="1:22" ht="15.75">
      <c r="A82" s="109" t="s">
        <v>238</v>
      </c>
      <c r="B82" s="111" t="s">
        <v>38</v>
      </c>
      <c r="C82" s="120">
        <v>2.56</v>
      </c>
      <c r="D82" s="121">
        <f t="shared" si="9"/>
        <v>2.56</v>
      </c>
      <c r="E82" s="111" t="s">
        <v>38</v>
      </c>
      <c r="F82" s="5">
        <v>2.5</v>
      </c>
      <c r="G82" s="54">
        <f t="shared" si="12"/>
        <v>2.5</v>
      </c>
      <c r="H82" s="111" t="s">
        <v>38</v>
      </c>
      <c r="I82" s="5">
        <v>2.11</v>
      </c>
      <c r="J82" s="54">
        <f t="shared" si="8"/>
        <v>2.11</v>
      </c>
      <c r="K82" s="111" t="s">
        <v>38</v>
      </c>
      <c r="L82" s="5">
        <v>5.34</v>
      </c>
      <c r="M82" s="54">
        <f t="shared" si="11"/>
        <v>5.34</v>
      </c>
      <c r="P82" s="140"/>
      <c r="Q82" s="140"/>
      <c r="R82" s="137"/>
      <c r="S82" s="138">
        <f t="shared" si="13"/>
        <v>0</v>
      </c>
      <c r="T82" s="138">
        <f t="shared" si="10"/>
        <v>0</v>
      </c>
      <c r="U82" s="139">
        <f t="shared" si="14"/>
        <v>0</v>
      </c>
      <c r="V82" s="140">
        <f t="shared" si="15"/>
        <v>0</v>
      </c>
    </row>
    <row r="83" spans="1:22" ht="15.75">
      <c r="A83" s="109" t="s">
        <v>239</v>
      </c>
      <c r="B83" s="111" t="s">
        <v>38</v>
      </c>
      <c r="C83" s="120">
        <v>3.25</v>
      </c>
      <c r="D83" s="121">
        <f t="shared" si="9"/>
        <v>3.25</v>
      </c>
      <c r="E83" s="111" t="s">
        <v>38</v>
      </c>
      <c r="F83" s="5">
        <v>4.8</v>
      </c>
      <c r="G83" s="54">
        <f t="shared" si="12"/>
        <v>4.8</v>
      </c>
      <c r="H83" s="111" t="s">
        <v>38</v>
      </c>
      <c r="I83" s="5">
        <v>6.35</v>
      </c>
      <c r="J83" s="54">
        <f t="shared" si="8"/>
        <v>6.35</v>
      </c>
      <c r="K83" s="111" t="s">
        <v>38</v>
      </c>
      <c r="L83" s="5">
        <v>3.43</v>
      </c>
      <c r="M83" s="54">
        <f t="shared" si="11"/>
        <v>3.43</v>
      </c>
      <c r="P83" s="140"/>
      <c r="Q83" s="140"/>
      <c r="R83" s="137"/>
      <c r="S83" s="138">
        <f t="shared" si="13"/>
        <v>0</v>
      </c>
      <c r="T83" s="138">
        <f t="shared" si="10"/>
        <v>0</v>
      </c>
      <c r="U83" s="139">
        <f t="shared" si="14"/>
        <v>0</v>
      </c>
      <c r="V83" s="140">
        <f t="shared" si="15"/>
        <v>0</v>
      </c>
    </row>
    <row r="84" spans="1:22" ht="15.75">
      <c r="A84" s="109" t="s">
        <v>240</v>
      </c>
      <c r="B84" s="111" t="s">
        <v>38</v>
      </c>
      <c r="C84" s="120">
        <v>3.85</v>
      </c>
      <c r="D84" s="121">
        <f t="shared" si="9"/>
        <v>3.85</v>
      </c>
      <c r="E84" s="111" t="s">
        <v>38</v>
      </c>
      <c r="F84" s="5">
        <v>3.8</v>
      </c>
      <c r="G84" s="54">
        <f t="shared" si="12"/>
        <v>3.8</v>
      </c>
      <c r="H84" s="111" t="s">
        <v>38</v>
      </c>
      <c r="I84" s="5">
        <v>3.96</v>
      </c>
      <c r="J84" s="54">
        <f t="shared" si="8"/>
        <v>3.96</v>
      </c>
      <c r="K84" s="111" t="s">
        <v>38</v>
      </c>
      <c r="L84" s="5">
        <v>3.16</v>
      </c>
      <c r="M84" s="54">
        <f t="shared" si="11"/>
        <v>3.16</v>
      </c>
      <c r="P84" s="140"/>
      <c r="Q84" s="140"/>
      <c r="R84" s="137"/>
      <c r="S84" s="138">
        <f t="shared" si="13"/>
        <v>0</v>
      </c>
      <c r="T84" s="138">
        <f t="shared" si="10"/>
        <v>0</v>
      </c>
      <c r="U84" s="139">
        <f t="shared" si="14"/>
        <v>0</v>
      </c>
      <c r="V84" s="140">
        <f t="shared" si="15"/>
        <v>0</v>
      </c>
    </row>
    <row r="85" spans="1:22" ht="15.75">
      <c r="A85" s="109" t="s">
        <v>241</v>
      </c>
      <c r="B85" s="111" t="s">
        <v>38</v>
      </c>
      <c r="C85" s="120">
        <v>0.97</v>
      </c>
      <c r="D85" s="121">
        <f t="shared" si="9"/>
        <v>0.97</v>
      </c>
      <c r="E85" s="111" t="s">
        <v>38</v>
      </c>
      <c r="F85" s="5">
        <v>2.2</v>
      </c>
      <c r="G85" s="54">
        <f t="shared" si="12"/>
        <v>2.2</v>
      </c>
      <c r="H85" s="111" t="s">
        <v>38</v>
      </c>
      <c r="I85" s="5">
        <v>1.45</v>
      </c>
      <c r="J85" s="54">
        <f t="shared" si="8"/>
        <v>1.45</v>
      </c>
      <c r="K85" s="111" t="s">
        <v>38</v>
      </c>
      <c r="L85" s="5">
        <v>1.51</v>
      </c>
      <c r="M85" s="54">
        <f t="shared" si="11"/>
        <v>1.51</v>
      </c>
      <c r="P85" s="111"/>
      <c r="Q85" s="116"/>
      <c r="R85" s="137"/>
      <c r="S85" s="138">
        <f t="shared" si="13"/>
        <v>0</v>
      </c>
      <c r="T85" s="138">
        <f t="shared" si="10"/>
        <v>0</v>
      </c>
      <c r="U85" s="139">
        <f t="shared" si="14"/>
        <v>0</v>
      </c>
      <c r="V85" s="140">
        <f t="shared" si="15"/>
        <v>0</v>
      </c>
    </row>
    <row r="86" spans="1:22" ht="25.5">
      <c r="A86" s="109" t="s">
        <v>7</v>
      </c>
      <c r="B86" s="111" t="s">
        <v>41</v>
      </c>
      <c r="C86" s="30">
        <f>D86*1000</f>
        <v>18.849999999999998</v>
      </c>
      <c r="D86" s="30">
        <v>0.01885</v>
      </c>
      <c r="E86" s="111" t="s">
        <v>41</v>
      </c>
      <c r="F86" s="5">
        <f>G86*1000</f>
        <v>22</v>
      </c>
      <c r="G86" s="54">
        <v>0.022</v>
      </c>
      <c r="H86" s="111" t="s">
        <v>367</v>
      </c>
      <c r="I86" s="5">
        <v>32.9</v>
      </c>
      <c r="J86" s="134">
        <f>I86/1500</f>
        <v>0.021933333333333332</v>
      </c>
      <c r="K86" s="104" t="s">
        <v>394</v>
      </c>
      <c r="L86" s="5">
        <v>1.2</v>
      </c>
      <c r="M86" s="54">
        <f>L86/50</f>
        <v>0.024</v>
      </c>
      <c r="P86" s="111"/>
      <c r="Q86" s="116"/>
      <c r="R86" s="137"/>
      <c r="S86" s="138">
        <f t="shared" si="13"/>
        <v>0</v>
      </c>
      <c r="T86" s="138">
        <f t="shared" si="10"/>
        <v>0</v>
      </c>
      <c r="U86" s="139">
        <f t="shared" si="14"/>
        <v>0</v>
      </c>
      <c r="V86" s="140">
        <f t="shared" si="15"/>
        <v>0</v>
      </c>
    </row>
    <row r="87" spans="1:22" ht="25.5">
      <c r="A87" s="109" t="s">
        <v>8</v>
      </c>
      <c r="B87" s="111" t="s">
        <v>290</v>
      </c>
      <c r="C87" s="30">
        <f>D87*300</f>
        <v>18.8499</v>
      </c>
      <c r="D87" s="30">
        <v>0.062833</v>
      </c>
      <c r="E87" s="111" t="s">
        <v>331</v>
      </c>
      <c r="F87" s="5">
        <f>G87*400</f>
        <v>31.6</v>
      </c>
      <c r="G87" s="30">
        <v>0.079</v>
      </c>
      <c r="H87" s="111" t="s">
        <v>114</v>
      </c>
      <c r="I87" s="5">
        <v>24.9</v>
      </c>
      <c r="J87" s="54">
        <f>I87/300</f>
        <v>0.08299999999999999</v>
      </c>
      <c r="K87" s="104" t="s">
        <v>395</v>
      </c>
      <c r="L87" s="30">
        <v>1.99</v>
      </c>
      <c r="M87" s="115">
        <f>L87/20</f>
        <v>0.0995</v>
      </c>
      <c r="P87" s="111"/>
      <c r="Q87" s="116"/>
      <c r="R87" s="137"/>
      <c r="S87" s="138">
        <f t="shared" si="13"/>
        <v>0</v>
      </c>
      <c r="T87" s="138">
        <f t="shared" si="10"/>
        <v>0</v>
      </c>
      <c r="U87" s="139">
        <f t="shared" si="14"/>
        <v>0</v>
      </c>
      <c r="V87" s="140">
        <f t="shared" si="15"/>
        <v>0</v>
      </c>
    </row>
    <row r="88" spans="1:22" ht="15.75">
      <c r="A88" s="109" t="s">
        <v>242</v>
      </c>
      <c r="B88" s="111" t="s">
        <v>38</v>
      </c>
      <c r="C88" s="120">
        <v>1.07</v>
      </c>
      <c r="D88" s="30">
        <f>C88/1</f>
        <v>1.07</v>
      </c>
      <c r="E88" s="111" t="s">
        <v>38</v>
      </c>
      <c r="F88" s="5">
        <v>1.2</v>
      </c>
      <c r="G88" s="5">
        <f>F88/1</f>
        <v>1.2</v>
      </c>
      <c r="H88" s="111" t="s">
        <v>38</v>
      </c>
      <c r="I88" s="5">
        <v>1.68</v>
      </c>
      <c r="J88" s="5">
        <f>I88/1</f>
        <v>1.68</v>
      </c>
      <c r="K88" s="111" t="s">
        <v>38</v>
      </c>
      <c r="L88" s="5">
        <v>0.8</v>
      </c>
      <c r="M88" s="5">
        <f>L88/1</f>
        <v>0.8</v>
      </c>
      <c r="P88" s="116"/>
      <c r="Q88" s="116"/>
      <c r="R88" s="137"/>
      <c r="S88" s="138">
        <f t="shared" si="13"/>
        <v>0</v>
      </c>
      <c r="T88" s="138">
        <f t="shared" si="10"/>
        <v>0</v>
      </c>
      <c r="U88" s="139">
        <f t="shared" si="14"/>
        <v>0</v>
      </c>
      <c r="V88" s="140">
        <f t="shared" si="15"/>
        <v>0</v>
      </c>
    </row>
    <row r="89" spans="1:22" ht="15.75">
      <c r="A89" s="227" t="s">
        <v>243</v>
      </c>
      <c r="B89" s="227"/>
      <c r="C89" s="227"/>
      <c r="D89" s="227"/>
      <c r="E89" s="227"/>
      <c r="F89" s="227"/>
      <c r="G89" s="227"/>
      <c r="H89" s="227"/>
      <c r="I89" s="227"/>
      <c r="J89" s="227"/>
      <c r="K89" s="227"/>
      <c r="L89" s="227"/>
      <c r="M89" s="227"/>
      <c r="P89" s="140"/>
      <c r="Q89" s="140"/>
      <c r="R89" s="137"/>
      <c r="S89" s="138">
        <f t="shared" si="13"/>
        <v>0</v>
      </c>
      <c r="T89" s="138">
        <f t="shared" si="10"/>
        <v>0</v>
      </c>
      <c r="U89" s="139">
        <f t="shared" si="14"/>
        <v>0</v>
      </c>
      <c r="V89" s="140">
        <f t="shared" si="15"/>
        <v>0</v>
      </c>
    </row>
    <row r="90" spans="1:22" ht="31.5">
      <c r="A90" s="109" t="s">
        <v>244</v>
      </c>
      <c r="B90" s="4" t="s">
        <v>38</v>
      </c>
      <c r="C90" s="5">
        <v>44</v>
      </c>
      <c r="D90" s="5">
        <f>C90/1</f>
        <v>44</v>
      </c>
      <c r="E90" s="4" t="s">
        <v>38</v>
      </c>
      <c r="F90" s="5">
        <v>48</v>
      </c>
      <c r="G90" s="5">
        <f>F90/1</f>
        <v>48</v>
      </c>
      <c r="H90" s="4" t="s">
        <v>38</v>
      </c>
      <c r="I90" s="5">
        <v>31</v>
      </c>
      <c r="J90" s="5">
        <f>I90/1</f>
        <v>31</v>
      </c>
      <c r="K90" s="4" t="s">
        <v>38</v>
      </c>
      <c r="L90" s="5">
        <v>44.5</v>
      </c>
      <c r="M90" s="5">
        <f>L90/1</f>
        <v>44.5</v>
      </c>
      <c r="P90" s="140"/>
      <c r="Q90" s="140"/>
      <c r="R90" s="137"/>
      <c r="S90" s="138">
        <f t="shared" si="13"/>
        <v>0</v>
      </c>
      <c r="T90" s="138">
        <f t="shared" si="10"/>
        <v>0</v>
      </c>
      <c r="U90" s="139">
        <f t="shared" si="14"/>
        <v>0</v>
      </c>
      <c r="V90" s="140">
        <f t="shared" si="15"/>
        <v>0</v>
      </c>
    </row>
    <row r="91" spans="1:22" ht="15.75">
      <c r="A91" s="109" t="s">
        <v>245</v>
      </c>
      <c r="B91" s="4" t="s">
        <v>38</v>
      </c>
      <c r="C91" s="5">
        <v>1.1</v>
      </c>
      <c r="D91" s="5">
        <f>C91/1</f>
        <v>1.1</v>
      </c>
      <c r="E91" s="4" t="s">
        <v>38</v>
      </c>
      <c r="F91" s="5">
        <v>3.5</v>
      </c>
      <c r="G91" s="5">
        <f>F91/1</f>
        <v>3.5</v>
      </c>
      <c r="H91" s="4" t="s">
        <v>38</v>
      </c>
      <c r="I91" s="5">
        <v>7.9</v>
      </c>
      <c r="J91" s="5">
        <f>I91/1</f>
        <v>7.9</v>
      </c>
      <c r="K91" s="135" t="s">
        <v>298</v>
      </c>
      <c r="L91" s="132"/>
      <c r="M91" s="132"/>
      <c r="P91" s="140"/>
      <c r="Q91" s="140"/>
      <c r="R91" s="137"/>
      <c r="S91" s="138">
        <f t="shared" si="13"/>
        <v>0</v>
      </c>
      <c r="T91" s="138">
        <f t="shared" si="10"/>
        <v>0</v>
      </c>
      <c r="U91" s="139">
        <f t="shared" si="14"/>
        <v>0</v>
      </c>
      <c r="V91" s="140">
        <f t="shared" si="15"/>
        <v>0</v>
      </c>
    </row>
    <row r="92" spans="1:22" ht="15.75">
      <c r="A92" s="109" t="s">
        <v>246</v>
      </c>
      <c r="B92" s="116" t="s">
        <v>291</v>
      </c>
      <c r="C92" s="5">
        <v>3.5</v>
      </c>
      <c r="D92" s="5">
        <f>C92/50</f>
        <v>0.07</v>
      </c>
      <c r="E92" s="116" t="s">
        <v>34</v>
      </c>
      <c r="F92" s="5">
        <v>2.5</v>
      </c>
      <c r="G92" s="54">
        <f>F92/100</f>
        <v>0.025</v>
      </c>
      <c r="H92" s="116" t="s">
        <v>291</v>
      </c>
      <c r="I92" s="5">
        <v>3.5</v>
      </c>
      <c r="J92" s="54">
        <f>I92/50</f>
        <v>0.07</v>
      </c>
      <c r="K92" s="116" t="s">
        <v>291</v>
      </c>
      <c r="L92" s="5">
        <v>3</v>
      </c>
      <c r="M92" s="54">
        <f>L92/50</f>
        <v>0.06</v>
      </c>
      <c r="P92" s="140"/>
      <c r="Q92" s="140"/>
      <c r="R92" s="137"/>
      <c r="S92" s="138">
        <f t="shared" si="13"/>
        <v>0</v>
      </c>
      <c r="T92" s="138">
        <f t="shared" si="10"/>
        <v>0</v>
      </c>
      <c r="U92" s="139">
        <f t="shared" si="14"/>
        <v>0</v>
      </c>
      <c r="V92" s="140">
        <f t="shared" si="15"/>
        <v>0</v>
      </c>
    </row>
    <row r="93" spans="1:22" ht="15.75">
      <c r="A93" s="109" t="s">
        <v>259</v>
      </c>
      <c r="B93" s="116" t="s">
        <v>332</v>
      </c>
      <c r="C93" s="5">
        <v>22.05</v>
      </c>
      <c r="D93" s="5">
        <f>C93/1</f>
        <v>22.05</v>
      </c>
      <c r="E93" s="116" t="s">
        <v>33</v>
      </c>
      <c r="F93" s="5">
        <v>36</v>
      </c>
      <c r="G93" s="5">
        <f>F93/1</f>
        <v>36</v>
      </c>
      <c r="H93" s="116" t="s">
        <v>33</v>
      </c>
      <c r="I93" s="5">
        <v>16.9</v>
      </c>
      <c r="J93" s="5">
        <f>I93/1</f>
        <v>16.9</v>
      </c>
      <c r="K93" s="135" t="s">
        <v>298</v>
      </c>
      <c r="L93" s="132"/>
      <c r="M93" s="132"/>
      <c r="P93" s="140"/>
      <c r="Q93" s="140"/>
      <c r="R93" s="137"/>
      <c r="S93" s="138">
        <f t="shared" si="13"/>
        <v>0</v>
      </c>
      <c r="T93" s="138">
        <f t="shared" si="10"/>
        <v>0</v>
      </c>
      <c r="U93" s="139">
        <f t="shared" si="14"/>
        <v>0</v>
      </c>
      <c r="V93" s="140">
        <f t="shared" si="15"/>
        <v>0</v>
      </c>
    </row>
    <row r="94" spans="1:22" ht="15.75">
      <c r="A94" s="109" t="s">
        <v>247</v>
      </c>
      <c r="B94" s="4" t="s">
        <v>38</v>
      </c>
      <c r="C94" s="5">
        <v>0.55</v>
      </c>
      <c r="D94" s="5">
        <f>C94/1</f>
        <v>0.55</v>
      </c>
      <c r="E94" s="4" t="s">
        <v>37</v>
      </c>
      <c r="F94" s="5">
        <f>G94*25</f>
        <v>16.5</v>
      </c>
      <c r="G94" s="5">
        <v>0.66</v>
      </c>
      <c r="H94" s="4" t="s">
        <v>38</v>
      </c>
      <c r="I94" s="5">
        <v>0.72</v>
      </c>
      <c r="J94" s="5">
        <f>I94/1</f>
        <v>0.72</v>
      </c>
      <c r="K94" s="135" t="s">
        <v>298</v>
      </c>
      <c r="L94" s="132"/>
      <c r="M94" s="132"/>
      <c r="P94" s="140"/>
      <c r="Q94" s="140"/>
      <c r="R94" s="137"/>
      <c r="S94" s="138">
        <f t="shared" si="13"/>
        <v>0</v>
      </c>
      <c r="T94" s="138">
        <f t="shared" si="10"/>
        <v>0</v>
      </c>
      <c r="U94" s="139">
        <f t="shared" si="14"/>
        <v>0</v>
      </c>
      <c r="V94" s="140">
        <f t="shared" si="15"/>
        <v>0</v>
      </c>
    </row>
    <row r="95" spans="1:22" ht="15.75">
      <c r="A95" s="109" t="s">
        <v>248</v>
      </c>
      <c r="B95" s="4" t="s">
        <v>38</v>
      </c>
      <c r="C95" s="5">
        <v>0.55</v>
      </c>
      <c r="D95" s="5">
        <f>C95/1</f>
        <v>0.55</v>
      </c>
      <c r="E95" s="4" t="s">
        <v>298</v>
      </c>
      <c r="F95" s="130" t="s">
        <v>326</v>
      </c>
      <c r="G95" s="130" t="s">
        <v>326</v>
      </c>
      <c r="H95" s="4" t="s">
        <v>38</v>
      </c>
      <c r="I95" s="5">
        <v>0.72</v>
      </c>
      <c r="J95" s="5">
        <f>I95/1</f>
        <v>0.72</v>
      </c>
      <c r="K95" s="4" t="s">
        <v>396</v>
      </c>
      <c r="L95" s="5">
        <v>30.78</v>
      </c>
      <c r="M95" s="5">
        <f>L95/18</f>
        <v>1.71</v>
      </c>
      <c r="P95" s="140"/>
      <c r="Q95" s="140"/>
      <c r="R95" s="137"/>
      <c r="S95" s="138">
        <f t="shared" si="13"/>
        <v>0</v>
      </c>
      <c r="T95" s="138"/>
      <c r="U95" s="139">
        <f t="shared" si="14"/>
        <v>0</v>
      </c>
      <c r="V95" s="140">
        <f t="shared" si="15"/>
        <v>0</v>
      </c>
    </row>
    <row r="96" spans="1:22" ht="25.5">
      <c r="A96" s="109" t="s">
        <v>249</v>
      </c>
      <c r="B96" s="4" t="s">
        <v>38</v>
      </c>
      <c r="C96" s="5">
        <v>1.15</v>
      </c>
      <c r="D96" s="5">
        <f>C96/1</f>
        <v>1.15</v>
      </c>
      <c r="E96" s="4" t="s">
        <v>327</v>
      </c>
      <c r="F96" s="5">
        <f>G96*12</f>
        <v>25.200000000000003</v>
      </c>
      <c r="G96" s="5">
        <v>2.1</v>
      </c>
      <c r="H96" s="4" t="s">
        <v>38</v>
      </c>
      <c r="I96" s="5">
        <v>1.65</v>
      </c>
      <c r="J96" s="5">
        <f>I96/1</f>
        <v>1.65</v>
      </c>
      <c r="K96" s="104" t="s">
        <v>397</v>
      </c>
      <c r="L96" s="5">
        <v>38.28</v>
      </c>
      <c r="M96" s="5">
        <f>L96/12</f>
        <v>3.19</v>
      </c>
      <c r="P96" s="140"/>
      <c r="Q96" s="140"/>
      <c r="R96" s="137"/>
      <c r="S96" s="138">
        <f t="shared" si="13"/>
        <v>0</v>
      </c>
      <c r="T96" s="138">
        <f>Q96*G96</f>
        <v>0</v>
      </c>
      <c r="U96" s="139">
        <f t="shared" si="14"/>
        <v>0</v>
      </c>
      <c r="V96" s="140">
        <f t="shared" si="15"/>
        <v>0</v>
      </c>
    </row>
    <row r="97" spans="1:22" ht="15.75">
      <c r="A97" s="109" t="s">
        <v>250</v>
      </c>
      <c r="B97" s="4" t="s">
        <v>38</v>
      </c>
      <c r="C97" s="5">
        <v>1.85</v>
      </c>
      <c r="D97" s="5">
        <f>C97/1</f>
        <v>1.85</v>
      </c>
      <c r="E97" s="4" t="s">
        <v>327</v>
      </c>
      <c r="F97" s="5">
        <f>G97*12</f>
        <v>30</v>
      </c>
      <c r="G97" s="5">
        <v>2.5</v>
      </c>
      <c r="H97" s="4" t="s">
        <v>38</v>
      </c>
      <c r="I97" s="5">
        <v>1.65</v>
      </c>
      <c r="J97" s="5">
        <f>I97/1</f>
        <v>1.65</v>
      </c>
      <c r="K97" s="104" t="s">
        <v>398</v>
      </c>
      <c r="L97" s="5">
        <v>33.36</v>
      </c>
      <c r="M97" s="5">
        <f>L97/24</f>
        <v>1.39</v>
      </c>
      <c r="P97" s="140"/>
      <c r="Q97" s="140"/>
      <c r="R97" s="137"/>
      <c r="S97" s="138">
        <f t="shared" si="13"/>
        <v>0</v>
      </c>
      <c r="T97" s="138">
        <f>Q97*G97</f>
        <v>0</v>
      </c>
      <c r="U97" s="139">
        <f t="shared" si="14"/>
        <v>0</v>
      </c>
      <c r="V97" s="140">
        <f t="shared" si="15"/>
        <v>0</v>
      </c>
    </row>
    <row r="98" spans="1:22" ht="25.5">
      <c r="A98" s="109" t="s">
        <v>251</v>
      </c>
      <c r="B98" s="116" t="s">
        <v>34</v>
      </c>
      <c r="C98" s="5">
        <v>0.85</v>
      </c>
      <c r="D98" s="115">
        <f>C98/100</f>
        <v>0.0085</v>
      </c>
      <c r="E98" s="116" t="s">
        <v>333</v>
      </c>
      <c r="F98" s="5">
        <f>G98*3000</f>
        <v>26.999999999999996</v>
      </c>
      <c r="G98" s="54">
        <v>0.009</v>
      </c>
      <c r="H98" s="116" t="s">
        <v>34</v>
      </c>
      <c r="I98" s="5">
        <v>0.89</v>
      </c>
      <c r="J98" s="115">
        <f>I98/100</f>
        <v>0.0089</v>
      </c>
      <c r="K98" s="111" t="s">
        <v>399</v>
      </c>
      <c r="L98" s="5">
        <v>1.12</v>
      </c>
      <c r="M98" s="115">
        <f>L98/100</f>
        <v>0.011200000000000002</v>
      </c>
      <c r="P98" s="140"/>
      <c r="Q98" s="140"/>
      <c r="R98" s="137"/>
      <c r="S98" s="138">
        <f t="shared" si="13"/>
        <v>0</v>
      </c>
      <c r="T98" s="138">
        <f>Q98*G98</f>
        <v>0</v>
      </c>
      <c r="U98" s="139">
        <f t="shared" si="14"/>
        <v>0</v>
      </c>
      <c r="V98" s="140">
        <f t="shared" si="15"/>
        <v>0</v>
      </c>
    </row>
    <row r="99" spans="16:22" ht="12.75">
      <c r="P99" s="137"/>
      <c r="Q99" s="137"/>
      <c r="R99" s="137"/>
      <c r="S99" s="136">
        <f>SUM(S6:S98)</f>
        <v>115.88</v>
      </c>
      <c r="T99" s="136">
        <f>SUM(T6:T98)</f>
        <v>111.84</v>
      </c>
      <c r="U99" s="136">
        <f>SUM(U6:U98)</f>
        <v>119.00000000000001</v>
      </c>
      <c r="V99" s="136">
        <f>SUM(V6:V98)</f>
        <v>143.12</v>
      </c>
    </row>
  </sheetData>
  <sheetProtection/>
  <mergeCells count="17">
    <mergeCell ref="A43:M43"/>
    <mergeCell ref="A89:M89"/>
    <mergeCell ref="E4:G4"/>
    <mergeCell ref="H4:J4"/>
    <mergeCell ref="A6:M6"/>
    <mergeCell ref="A18:M18"/>
    <mergeCell ref="A27:M27"/>
    <mergeCell ref="A35:M35"/>
    <mergeCell ref="A2:M2"/>
    <mergeCell ref="S4:S5"/>
    <mergeCell ref="T4:T5"/>
    <mergeCell ref="P4:Q5"/>
    <mergeCell ref="V4:V5"/>
    <mergeCell ref="A4:A5"/>
    <mergeCell ref="B4:D4"/>
    <mergeCell ref="K4:M4"/>
    <mergeCell ref="U4:U5"/>
  </mergeCells>
  <printOptions horizontalCentered="1" verticalCentered="1"/>
  <pageMargins left="0.1968503937007874" right="0.1968503937007874" top="0.3937007874015748" bottom="0.7874015748031497" header="0.2362204724409449" footer="0.15748031496062992"/>
  <pageSetup fitToHeight="2" fitToWidth="2" horizontalDpi="600" verticalDpi="600" orientation="portrait" paperSize="8" scale="47" r:id="rId1"/>
  <colBreaks count="1" manualBreakCount="1">
    <brk id="13" max="98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2:AD62"/>
  <sheetViews>
    <sheetView zoomScale="75" zoomScaleNormal="75" zoomScaleSheetLayoutView="75" zoomScalePageLayoutView="0" workbookViewId="0" topLeftCell="A28">
      <selection activeCell="V38" sqref="V38:W38"/>
    </sheetView>
  </sheetViews>
  <sheetFormatPr defaultColWidth="9.140625" defaultRowHeight="12.75"/>
  <cols>
    <col min="1" max="1" width="69.421875" style="0" customWidth="1"/>
    <col min="2" max="2" width="16.28125" style="0" customWidth="1"/>
    <col min="3" max="3" width="13.140625" style="0" customWidth="1"/>
    <col min="4" max="4" width="12.28125" style="0" customWidth="1"/>
    <col min="5" max="5" width="24.57421875" style="0" customWidth="1"/>
    <col min="6" max="6" width="8.8515625" style="0" customWidth="1"/>
    <col min="7" max="7" width="10.00390625" style="0" customWidth="1"/>
    <col min="8" max="8" width="16.8515625" style="0" customWidth="1"/>
    <col min="9" max="9" width="11.28125" style="0" customWidth="1"/>
    <col min="10" max="10" width="10.57421875" style="0" customWidth="1"/>
    <col min="11" max="11" width="17.8515625" style="0" customWidth="1"/>
    <col min="12" max="12" width="10.57421875" style="0" customWidth="1"/>
    <col min="13" max="13" width="11.00390625" style="0" customWidth="1"/>
    <col min="14" max="14" width="17.8515625" style="0" customWidth="1"/>
    <col min="15" max="15" width="11.00390625" style="0" customWidth="1"/>
    <col min="16" max="16" width="10.421875" style="0" customWidth="1"/>
    <col min="17" max="17" width="17.57421875" style="0" customWidth="1"/>
    <col min="18" max="18" width="10.28125" style="0" customWidth="1"/>
    <col min="19" max="19" width="10.8515625" style="0" customWidth="1"/>
    <col min="20" max="20" width="13.8515625" style="0" customWidth="1"/>
    <col min="21" max="21" width="16.7109375" style="0" customWidth="1"/>
    <col min="22" max="22" width="16.28125" style="0" customWidth="1"/>
    <col min="25" max="25" width="11.421875" style="0" bestFit="1" customWidth="1"/>
    <col min="26" max="26" width="14.00390625" style="0" customWidth="1"/>
    <col min="27" max="27" width="11.421875" style="0" bestFit="1" customWidth="1"/>
    <col min="28" max="28" width="13.140625" style="0" bestFit="1" customWidth="1"/>
    <col min="29" max="29" width="12.7109375" style="0" customWidth="1"/>
    <col min="30" max="30" width="12.57421875" style="0" customWidth="1"/>
  </cols>
  <sheetData>
    <row r="1" ht="13.5" thickBot="1"/>
    <row r="2" spans="1:19" ht="18.75" thickBot="1">
      <c r="A2" s="209" t="s">
        <v>99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1"/>
    </row>
    <row r="3" ht="13.5" thickBot="1"/>
    <row r="4" spans="1:30" ht="15.75" customHeight="1">
      <c r="A4" s="218" t="s">
        <v>0</v>
      </c>
      <c r="B4" s="220" t="s">
        <v>29</v>
      </c>
      <c r="C4" s="221"/>
      <c r="D4" s="222"/>
      <c r="E4" s="228" t="s">
        <v>39</v>
      </c>
      <c r="F4" s="229"/>
      <c r="G4" s="230"/>
      <c r="H4" s="231" t="s">
        <v>76</v>
      </c>
      <c r="I4" s="232"/>
      <c r="J4" s="233"/>
      <c r="K4" s="236" t="s">
        <v>44</v>
      </c>
      <c r="L4" s="237"/>
      <c r="M4" s="238"/>
      <c r="N4" s="239" t="s">
        <v>77</v>
      </c>
      <c r="O4" s="240"/>
      <c r="P4" s="241"/>
      <c r="Q4" s="223" t="s">
        <v>78</v>
      </c>
      <c r="R4" s="224"/>
      <c r="S4" s="225"/>
      <c r="T4" s="10"/>
      <c r="V4" s="216" t="s">
        <v>1</v>
      </c>
      <c r="W4" s="216"/>
      <c r="Y4" s="212" t="s">
        <v>57</v>
      </c>
      <c r="Z4" s="214" t="s">
        <v>135</v>
      </c>
      <c r="AA4" s="226" t="s">
        <v>134</v>
      </c>
      <c r="AB4" s="234" t="s">
        <v>56</v>
      </c>
      <c r="AC4" s="235" t="s">
        <v>139</v>
      </c>
      <c r="AD4" s="217" t="s">
        <v>138</v>
      </c>
    </row>
    <row r="5" spans="1:30" ht="18.75" customHeight="1">
      <c r="A5" s="219"/>
      <c r="B5" s="64" t="s">
        <v>2</v>
      </c>
      <c r="C5" s="65" t="s">
        <v>3</v>
      </c>
      <c r="D5" s="66" t="s">
        <v>4</v>
      </c>
      <c r="E5" s="67" t="s">
        <v>2</v>
      </c>
      <c r="F5" s="68" t="s">
        <v>3</v>
      </c>
      <c r="G5" s="69" t="s">
        <v>4</v>
      </c>
      <c r="H5" s="70" t="s">
        <v>2</v>
      </c>
      <c r="I5" s="71" t="s">
        <v>3</v>
      </c>
      <c r="J5" s="72" t="s">
        <v>4</v>
      </c>
      <c r="K5" s="73" t="s">
        <v>2</v>
      </c>
      <c r="L5" s="74" t="s">
        <v>3</v>
      </c>
      <c r="M5" s="75" t="s">
        <v>4</v>
      </c>
      <c r="N5" s="82" t="s">
        <v>2</v>
      </c>
      <c r="O5" s="83" t="s">
        <v>3</v>
      </c>
      <c r="P5" s="84" t="s">
        <v>4</v>
      </c>
      <c r="Q5" s="76" t="s">
        <v>2</v>
      </c>
      <c r="R5" s="77" t="s">
        <v>3</v>
      </c>
      <c r="S5" s="78" t="s">
        <v>4</v>
      </c>
      <c r="T5" s="11"/>
      <c r="V5" s="216"/>
      <c r="W5" s="216"/>
      <c r="Y5" s="213"/>
      <c r="Z5" s="215"/>
      <c r="AA5" s="226"/>
      <c r="AB5" s="234"/>
      <c r="AC5" s="235"/>
      <c r="AD5" s="217"/>
    </row>
    <row r="6" spans="1:30" s="28" customFormat="1" ht="23.25" customHeight="1">
      <c r="A6" s="40" t="s">
        <v>30</v>
      </c>
      <c r="B6" s="13" t="s">
        <v>105</v>
      </c>
      <c r="C6" s="1">
        <v>26.8</v>
      </c>
      <c r="D6" s="45">
        <f>C6/20</f>
        <v>1.34</v>
      </c>
      <c r="E6" s="14" t="s">
        <v>100</v>
      </c>
      <c r="F6" s="2">
        <v>1.38</v>
      </c>
      <c r="G6" s="12">
        <f>F6/1</f>
        <v>1.38</v>
      </c>
      <c r="H6" s="13" t="s">
        <v>108</v>
      </c>
      <c r="I6" s="1">
        <v>16.2</v>
      </c>
      <c r="J6" s="12">
        <f>I6/12</f>
        <v>1.3499999999999999</v>
      </c>
      <c r="K6" s="13" t="s">
        <v>45</v>
      </c>
      <c r="L6" s="1">
        <v>27</v>
      </c>
      <c r="M6" s="12">
        <f>L6/20</f>
        <v>1.35</v>
      </c>
      <c r="N6" s="15" t="s">
        <v>47</v>
      </c>
      <c r="O6" s="1">
        <v>18.24</v>
      </c>
      <c r="P6" s="12">
        <f>O6/9</f>
        <v>2.0266666666666664</v>
      </c>
      <c r="Q6" s="13" t="s">
        <v>45</v>
      </c>
      <c r="R6" s="1">
        <v>30</v>
      </c>
      <c r="S6" s="12">
        <f>R6/20</f>
        <v>1.5</v>
      </c>
      <c r="T6" s="9"/>
      <c r="V6" s="3" t="s">
        <v>143</v>
      </c>
      <c r="W6" s="4">
        <v>24</v>
      </c>
      <c r="Y6" s="22">
        <f aca="true" t="shared" si="0" ref="Y6:Y49">W6*D6</f>
        <v>32.160000000000004</v>
      </c>
      <c r="Z6" s="22">
        <f aca="true" t="shared" si="1" ref="Z6:Z49">W6*G6</f>
        <v>33.12</v>
      </c>
      <c r="AA6" s="23">
        <f>ROUND(W6*J6,2)</f>
        <v>32.4</v>
      </c>
      <c r="AB6" s="23">
        <f aca="true" t="shared" si="2" ref="AB6:AB49">W6*M6</f>
        <v>32.400000000000006</v>
      </c>
      <c r="AC6" s="5">
        <f>W6*P6</f>
        <v>48.63999999999999</v>
      </c>
      <c r="AD6" s="30">
        <f>W6*S6</f>
        <v>36</v>
      </c>
    </row>
    <row r="7" spans="1:30" s="28" customFormat="1" ht="25.5">
      <c r="A7" s="40" t="s">
        <v>31</v>
      </c>
      <c r="B7" s="14" t="s">
        <v>106</v>
      </c>
      <c r="C7" s="1">
        <v>5.6</v>
      </c>
      <c r="D7" s="46">
        <f>C7/16</f>
        <v>0.35</v>
      </c>
      <c r="E7" s="14" t="s">
        <v>100</v>
      </c>
      <c r="F7" s="5">
        <v>0.33</v>
      </c>
      <c r="G7" s="16">
        <f>F7/1</f>
        <v>0.33</v>
      </c>
      <c r="H7" s="14" t="s">
        <v>109</v>
      </c>
      <c r="I7" s="1">
        <v>4.56</v>
      </c>
      <c r="J7" s="12">
        <f>I7/12</f>
        <v>0.37999999999999995</v>
      </c>
      <c r="K7" s="13" t="s">
        <v>45</v>
      </c>
      <c r="L7" s="1">
        <v>7.6</v>
      </c>
      <c r="M7" s="12">
        <f>L7/20</f>
        <v>0.38</v>
      </c>
      <c r="N7" s="13" t="s">
        <v>124</v>
      </c>
      <c r="O7" s="1">
        <v>5.88</v>
      </c>
      <c r="P7" s="12">
        <f>O7/12</f>
        <v>0.49</v>
      </c>
      <c r="Q7" s="13" t="s">
        <v>124</v>
      </c>
      <c r="R7" s="1">
        <v>5.88</v>
      </c>
      <c r="S7" s="12">
        <f>R7/12</f>
        <v>0.49</v>
      </c>
      <c r="T7" s="9"/>
      <c r="V7" s="3" t="s">
        <v>144</v>
      </c>
      <c r="W7" s="4">
        <v>36</v>
      </c>
      <c r="Y7" s="22">
        <f t="shared" si="0"/>
        <v>12.6</v>
      </c>
      <c r="Z7" s="22">
        <f t="shared" si="1"/>
        <v>11.88</v>
      </c>
      <c r="AA7" s="23">
        <f aca="true" t="shared" si="3" ref="AA7:AA52">ROUND(W7*J7,2)</f>
        <v>13.68</v>
      </c>
      <c r="AB7" s="23">
        <f t="shared" si="2"/>
        <v>13.68</v>
      </c>
      <c r="AC7" s="30">
        <f aca="true" t="shared" si="4" ref="AC7:AC52">W7*P7</f>
        <v>17.64</v>
      </c>
      <c r="AD7" s="30">
        <f aca="true" t="shared" si="5" ref="AD7:AD52">W7*S7</f>
        <v>17.64</v>
      </c>
    </row>
    <row r="8" spans="1:30" s="28" customFormat="1" ht="25.5">
      <c r="A8" s="40" t="s">
        <v>32</v>
      </c>
      <c r="B8" s="14" t="s">
        <v>107</v>
      </c>
      <c r="C8" s="1">
        <v>5.36</v>
      </c>
      <c r="D8" s="46">
        <f>C8/16</f>
        <v>0.335</v>
      </c>
      <c r="E8" s="14" t="s">
        <v>101</v>
      </c>
      <c r="F8" s="8">
        <v>0.82</v>
      </c>
      <c r="G8" s="18">
        <f>F8/4</f>
        <v>0.205</v>
      </c>
      <c r="H8" s="14" t="s">
        <v>107</v>
      </c>
      <c r="I8" s="1">
        <v>5.12</v>
      </c>
      <c r="J8" s="12">
        <f>I8/16</f>
        <v>0.32</v>
      </c>
      <c r="K8" s="15" t="s">
        <v>46</v>
      </c>
      <c r="L8" s="1">
        <v>5.6</v>
      </c>
      <c r="M8" s="12">
        <f>L8/16</f>
        <v>0.35</v>
      </c>
      <c r="N8" s="15" t="s">
        <v>125</v>
      </c>
      <c r="O8" s="1">
        <v>5.8</v>
      </c>
      <c r="P8" s="12">
        <f>O8/16</f>
        <v>0.3625</v>
      </c>
      <c r="Q8" s="15" t="s">
        <v>46</v>
      </c>
      <c r="R8" s="1">
        <v>6.08</v>
      </c>
      <c r="S8" s="12">
        <f>R8/16</f>
        <v>0.38</v>
      </c>
      <c r="T8" s="9"/>
      <c r="V8" s="3" t="s">
        <v>52</v>
      </c>
      <c r="W8" s="4">
        <v>80</v>
      </c>
      <c r="Y8" s="22">
        <f t="shared" si="0"/>
        <v>26.8</v>
      </c>
      <c r="Z8" s="22">
        <f t="shared" si="1"/>
        <v>16.4</v>
      </c>
      <c r="AA8" s="23">
        <f t="shared" si="3"/>
        <v>25.6</v>
      </c>
      <c r="AB8" s="23">
        <f t="shared" si="2"/>
        <v>28</v>
      </c>
      <c r="AC8" s="30">
        <f t="shared" si="4"/>
        <v>29</v>
      </c>
      <c r="AD8" s="30">
        <f t="shared" si="5"/>
        <v>30.4</v>
      </c>
    </row>
    <row r="9" spans="1:30" s="28" customFormat="1" ht="52.5" customHeight="1">
      <c r="A9" s="40" t="s">
        <v>71</v>
      </c>
      <c r="B9" s="15" t="s">
        <v>79</v>
      </c>
      <c r="C9" s="1">
        <v>13.2</v>
      </c>
      <c r="D9" s="46">
        <f>C9/9</f>
        <v>1.4666666666666666</v>
      </c>
      <c r="E9" s="14" t="s">
        <v>102</v>
      </c>
      <c r="F9" s="5">
        <v>1.58</v>
      </c>
      <c r="G9" s="16">
        <f>F9/1</f>
        <v>1.58</v>
      </c>
      <c r="H9" s="17" t="s">
        <v>110</v>
      </c>
      <c r="I9" s="53">
        <v>10.56</v>
      </c>
      <c r="J9" s="16">
        <f>I9/12</f>
        <v>0.88</v>
      </c>
      <c r="K9" s="15" t="s">
        <v>47</v>
      </c>
      <c r="L9" s="6">
        <v>16.2</v>
      </c>
      <c r="M9" s="16">
        <f>L9/9</f>
        <v>1.7999999999999998</v>
      </c>
      <c r="N9" s="13" t="s">
        <v>126</v>
      </c>
      <c r="O9" s="6">
        <v>23.13</v>
      </c>
      <c r="P9" s="16">
        <f>O9/9</f>
        <v>2.57</v>
      </c>
      <c r="Q9" s="15" t="s">
        <v>47</v>
      </c>
      <c r="R9" s="6">
        <v>15.48</v>
      </c>
      <c r="S9" s="16">
        <f>R9/9</f>
        <v>1.72</v>
      </c>
      <c r="T9" s="9"/>
      <c r="V9" s="87" t="s">
        <v>143</v>
      </c>
      <c r="W9" s="4">
        <v>24</v>
      </c>
      <c r="Y9" s="22">
        <f t="shared" si="0"/>
        <v>35.199999999999996</v>
      </c>
      <c r="Z9" s="22">
        <f t="shared" si="1"/>
        <v>37.92</v>
      </c>
      <c r="AA9" s="23">
        <f t="shared" si="3"/>
        <v>21.12</v>
      </c>
      <c r="AB9" s="23">
        <f t="shared" si="2"/>
        <v>43.199999999999996</v>
      </c>
      <c r="AC9" s="30">
        <f t="shared" si="4"/>
        <v>61.67999999999999</v>
      </c>
      <c r="AD9" s="30">
        <f t="shared" si="5"/>
        <v>41.28</v>
      </c>
    </row>
    <row r="10" spans="1:30" s="28" customFormat="1" ht="43.5" customHeight="1">
      <c r="A10" s="40" t="s">
        <v>58</v>
      </c>
      <c r="B10" s="14" t="s">
        <v>80</v>
      </c>
      <c r="C10" s="1">
        <v>15.48</v>
      </c>
      <c r="D10" s="46">
        <f>C10/12</f>
        <v>1.29</v>
      </c>
      <c r="E10" s="14" t="s">
        <v>102</v>
      </c>
      <c r="F10" s="5">
        <v>1.01</v>
      </c>
      <c r="G10" s="16">
        <f>F10/1</f>
        <v>1.01</v>
      </c>
      <c r="H10" s="17" t="s">
        <v>110</v>
      </c>
      <c r="I10" s="6">
        <v>9.36</v>
      </c>
      <c r="J10" s="16">
        <f>I10/12</f>
        <v>0.7799999999999999</v>
      </c>
      <c r="K10" s="14" t="s">
        <v>48</v>
      </c>
      <c r="L10" s="6">
        <v>19.2</v>
      </c>
      <c r="M10" s="16">
        <f>L10/12</f>
        <v>1.5999999999999999</v>
      </c>
      <c r="N10" s="13" t="s">
        <v>126</v>
      </c>
      <c r="O10" s="6">
        <v>25.56</v>
      </c>
      <c r="P10" s="16">
        <f>O10/9</f>
        <v>2.84</v>
      </c>
      <c r="Q10" s="14" t="s">
        <v>48</v>
      </c>
      <c r="R10" s="6">
        <v>22.08</v>
      </c>
      <c r="S10" s="16">
        <f>R10/12</f>
        <v>1.8399999999999999</v>
      </c>
      <c r="T10" s="9"/>
      <c r="V10" s="3"/>
      <c r="W10" s="4"/>
      <c r="Y10" s="22">
        <f t="shared" si="0"/>
        <v>0</v>
      </c>
      <c r="Z10" s="22">
        <f t="shared" si="1"/>
        <v>0</v>
      </c>
      <c r="AA10" s="23">
        <f t="shared" si="3"/>
        <v>0</v>
      </c>
      <c r="AB10" s="23">
        <f t="shared" si="2"/>
        <v>0</v>
      </c>
      <c r="AC10" s="30">
        <f t="shared" si="4"/>
        <v>0</v>
      </c>
      <c r="AD10" s="30">
        <f t="shared" si="5"/>
        <v>0</v>
      </c>
    </row>
    <row r="11" spans="1:30" s="28" customFormat="1" ht="55.5" customHeight="1">
      <c r="A11" s="40" t="s">
        <v>72</v>
      </c>
      <c r="B11" s="15" t="s">
        <v>81</v>
      </c>
      <c r="C11" s="6">
        <v>10.35</v>
      </c>
      <c r="D11" s="46">
        <f>C11/15</f>
        <v>0.69</v>
      </c>
      <c r="E11" s="14" t="s">
        <v>101</v>
      </c>
      <c r="F11" s="5">
        <v>1.43</v>
      </c>
      <c r="G11" s="16">
        <f>F11/4</f>
        <v>0.3575</v>
      </c>
      <c r="H11" s="15" t="s">
        <v>111</v>
      </c>
      <c r="I11" s="6">
        <v>8.4</v>
      </c>
      <c r="J11" s="16">
        <f>I11/20</f>
        <v>0.42000000000000004</v>
      </c>
      <c r="K11" s="15" t="s">
        <v>49</v>
      </c>
      <c r="L11" s="6">
        <v>14.4</v>
      </c>
      <c r="M11" s="16">
        <f>L11/12</f>
        <v>1.2</v>
      </c>
      <c r="N11" s="15" t="s">
        <v>127</v>
      </c>
      <c r="O11" s="6">
        <v>44.8</v>
      </c>
      <c r="P11" s="16">
        <f>O11/20</f>
        <v>2.2399999999999998</v>
      </c>
      <c r="Q11" s="15" t="s">
        <v>111</v>
      </c>
      <c r="R11" s="6">
        <v>16.52</v>
      </c>
      <c r="S11" s="16">
        <f>R11/20</f>
        <v>0.826</v>
      </c>
      <c r="T11" s="9"/>
      <c r="V11" s="3"/>
      <c r="W11" s="4"/>
      <c r="Y11" s="22">
        <f t="shared" si="0"/>
        <v>0</v>
      </c>
      <c r="Z11" s="22">
        <f t="shared" si="1"/>
        <v>0</v>
      </c>
      <c r="AA11" s="23">
        <f t="shared" si="3"/>
        <v>0</v>
      </c>
      <c r="AB11" s="23">
        <f t="shared" si="2"/>
        <v>0</v>
      </c>
      <c r="AC11" s="30">
        <f t="shared" si="4"/>
        <v>0</v>
      </c>
      <c r="AD11" s="30">
        <f t="shared" si="5"/>
        <v>0</v>
      </c>
    </row>
    <row r="12" spans="1:30" s="28" customFormat="1" ht="39.75" customHeight="1">
      <c r="A12" s="40" t="s">
        <v>59</v>
      </c>
      <c r="B12" s="15" t="s">
        <v>82</v>
      </c>
      <c r="C12" s="6">
        <v>12.8</v>
      </c>
      <c r="D12" s="46">
        <f>C12/12</f>
        <v>1.0666666666666667</v>
      </c>
      <c r="E12" s="14" t="s">
        <v>100</v>
      </c>
      <c r="F12" s="5">
        <v>0.77</v>
      </c>
      <c r="G12" s="16">
        <f>F12/1</f>
        <v>0.77</v>
      </c>
      <c r="H12" s="17" t="s">
        <v>110</v>
      </c>
      <c r="I12" s="6">
        <v>11.88</v>
      </c>
      <c r="J12" s="16">
        <f>I12/12</f>
        <v>0.9900000000000001</v>
      </c>
      <c r="K12" s="15" t="s">
        <v>120</v>
      </c>
      <c r="L12" s="6">
        <v>15.2</v>
      </c>
      <c r="M12" s="16">
        <f>L12/12</f>
        <v>1.2666666666666666</v>
      </c>
      <c r="N12" s="15" t="s">
        <v>128</v>
      </c>
      <c r="O12" s="6">
        <v>16.8</v>
      </c>
      <c r="P12" s="16">
        <f>O12/5.7</f>
        <v>2.9473684210526314</v>
      </c>
      <c r="Q12" s="15" t="s">
        <v>120</v>
      </c>
      <c r="R12" s="6">
        <v>15.2</v>
      </c>
      <c r="S12" s="16">
        <f>R12/12</f>
        <v>1.2666666666666666</v>
      </c>
      <c r="T12" s="9"/>
      <c r="V12" s="3" t="s">
        <v>145</v>
      </c>
      <c r="W12" s="4">
        <v>12</v>
      </c>
      <c r="Y12" s="22">
        <f t="shared" si="0"/>
        <v>12.8</v>
      </c>
      <c r="Z12" s="22">
        <f t="shared" si="1"/>
        <v>9.24</v>
      </c>
      <c r="AA12" s="23">
        <f t="shared" si="3"/>
        <v>11.88</v>
      </c>
      <c r="AB12" s="23">
        <f t="shared" si="2"/>
        <v>15.2</v>
      </c>
      <c r="AC12" s="30">
        <f t="shared" si="4"/>
        <v>35.368421052631575</v>
      </c>
      <c r="AD12" s="30">
        <f t="shared" si="5"/>
        <v>15.2</v>
      </c>
    </row>
    <row r="13" spans="1:30" s="28" customFormat="1" ht="36.75" customHeight="1">
      <c r="A13" s="40" t="s">
        <v>73</v>
      </c>
      <c r="B13" s="14" t="s">
        <v>84</v>
      </c>
      <c r="C13" s="6">
        <v>7.78</v>
      </c>
      <c r="D13" s="46">
        <f>C13/16</f>
        <v>0.48625</v>
      </c>
      <c r="E13" s="14" t="s">
        <v>101</v>
      </c>
      <c r="F13" s="8">
        <v>1.43</v>
      </c>
      <c r="G13" s="16">
        <f>F13/4</f>
        <v>0.3575</v>
      </c>
      <c r="H13" s="15" t="s">
        <v>111</v>
      </c>
      <c r="I13" s="6">
        <v>11.6</v>
      </c>
      <c r="J13" s="16">
        <f>I13/20</f>
        <v>0.58</v>
      </c>
      <c r="K13" s="15" t="s">
        <v>111</v>
      </c>
      <c r="L13" s="6">
        <v>13.2</v>
      </c>
      <c r="M13" s="16">
        <f>L13/20</f>
        <v>0.6599999999999999</v>
      </c>
      <c r="N13" s="15" t="s">
        <v>129</v>
      </c>
      <c r="O13" s="6">
        <v>41.58</v>
      </c>
      <c r="P13" s="16">
        <f>O13/24</f>
        <v>1.7325</v>
      </c>
      <c r="Q13" s="15" t="s">
        <v>111</v>
      </c>
      <c r="R13" s="6">
        <v>12.2</v>
      </c>
      <c r="S13" s="16">
        <f>R13/20</f>
        <v>0.61</v>
      </c>
      <c r="T13" s="9"/>
      <c r="V13" s="3" t="s">
        <v>146</v>
      </c>
      <c r="W13" s="4">
        <v>100</v>
      </c>
      <c r="Y13" s="22">
        <f t="shared" si="0"/>
        <v>48.625</v>
      </c>
      <c r="Z13" s="22">
        <f t="shared" si="1"/>
        <v>35.75</v>
      </c>
      <c r="AA13" s="23">
        <f t="shared" si="3"/>
        <v>58</v>
      </c>
      <c r="AB13" s="23">
        <f t="shared" si="2"/>
        <v>65.99999999999999</v>
      </c>
      <c r="AC13" s="30">
        <f t="shared" si="4"/>
        <v>173.25</v>
      </c>
      <c r="AD13" s="30">
        <f t="shared" si="5"/>
        <v>61</v>
      </c>
    </row>
    <row r="14" spans="1:30" s="28" customFormat="1" ht="35.25" customHeight="1">
      <c r="A14" s="40" t="s">
        <v>74</v>
      </c>
      <c r="B14" s="14" t="s">
        <v>85</v>
      </c>
      <c r="C14" s="6">
        <v>9.3</v>
      </c>
      <c r="D14" s="46">
        <f>C14/10</f>
        <v>0.93</v>
      </c>
      <c r="E14" s="14" t="s">
        <v>103</v>
      </c>
      <c r="F14" s="5">
        <v>10.23</v>
      </c>
      <c r="G14" s="16">
        <f>F14/5</f>
        <v>2.0460000000000003</v>
      </c>
      <c r="H14" s="15" t="s">
        <v>111</v>
      </c>
      <c r="I14" s="6">
        <v>17.8</v>
      </c>
      <c r="J14" s="16">
        <f>I14/20</f>
        <v>0.89</v>
      </c>
      <c r="K14" s="15" t="s">
        <v>111</v>
      </c>
      <c r="L14" s="6">
        <v>22.8</v>
      </c>
      <c r="M14" s="16">
        <f>L14/20</f>
        <v>1.1400000000000001</v>
      </c>
      <c r="N14" s="15" t="s">
        <v>130</v>
      </c>
      <c r="O14" s="6">
        <v>19.38</v>
      </c>
      <c r="P14" s="16">
        <f>O14/10</f>
        <v>1.938</v>
      </c>
      <c r="Q14" s="15" t="s">
        <v>111</v>
      </c>
      <c r="R14" s="6">
        <v>35.52</v>
      </c>
      <c r="S14" s="16">
        <f>R14/20</f>
        <v>1.7760000000000002</v>
      </c>
      <c r="T14" s="9"/>
      <c r="V14" s="3" t="s">
        <v>148</v>
      </c>
      <c r="W14" s="4">
        <v>40</v>
      </c>
      <c r="Y14" s="22">
        <f t="shared" si="0"/>
        <v>37.2</v>
      </c>
      <c r="Z14" s="22">
        <f t="shared" si="1"/>
        <v>81.84</v>
      </c>
      <c r="AA14" s="23">
        <f t="shared" si="3"/>
        <v>35.6</v>
      </c>
      <c r="AB14" s="23">
        <f t="shared" si="2"/>
        <v>45.60000000000001</v>
      </c>
      <c r="AC14" s="30">
        <f t="shared" si="4"/>
        <v>77.52</v>
      </c>
      <c r="AD14" s="30">
        <f t="shared" si="5"/>
        <v>71.04</v>
      </c>
    </row>
    <row r="15" spans="1:30" s="28" customFormat="1" ht="36.75" customHeight="1">
      <c r="A15" s="40" t="s">
        <v>60</v>
      </c>
      <c r="B15" s="15" t="s">
        <v>86</v>
      </c>
      <c r="C15" s="6">
        <v>18.84</v>
      </c>
      <c r="D15" s="46">
        <f>C15/12</f>
        <v>1.57</v>
      </c>
      <c r="E15" s="14" t="s">
        <v>102</v>
      </c>
      <c r="F15" s="5">
        <v>1.73</v>
      </c>
      <c r="G15" s="16">
        <f>F15/1</f>
        <v>1.73</v>
      </c>
      <c r="H15" s="15" t="s">
        <v>112</v>
      </c>
      <c r="I15" s="6">
        <v>11.88</v>
      </c>
      <c r="J15" s="16">
        <f>I15/9</f>
        <v>1.32</v>
      </c>
      <c r="K15" s="15" t="s">
        <v>121</v>
      </c>
      <c r="L15" s="6">
        <v>7.2</v>
      </c>
      <c r="M15" s="16">
        <f>L15/4.5</f>
        <v>1.6</v>
      </c>
      <c r="N15" s="13" t="s">
        <v>126</v>
      </c>
      <c r="O15" s="6">
        <v>20.52</v>
      </c>
      <c r="P15" s="16">
        <f>O15/9</f>
        <v>2.28</v>
      </c>
      <c r="Q15" s="15" t="s">
        <v>112</v>
      </c>
      <c r="R15" s="6">
        <v>16.8</v>
      </c>
      <c r="S15" s="16">
        <f>R15/9</f>
        <v>1.8666666666666667</v>
      </c>
      <c r="T15" s="9"/>
      <c r="V15" s="3" t="s">
        <v>147</v>
      </c>
      <c r="W15" s="4">
        <v>45</v>
      </c>
      <c r="Y15" s="22">
        <f t="shared" si="0"/>
        <v>70.65</v>
      </c>
      <c r="Z15" s="22">
        <f t="shared" si="1"/>
        <v>77.85</v>
      </c>
      <c r="AA15" s="23">
        <f t="shared" si="3"/>
        <v>59.4</v>
      </c>
      <c r="AB15" s="23">
        <f t="shared" si="2"/>
        <v>72</v>
      </c>
      <c r="AC15" s="30">
        <f t="shared" si="4"/>
        <v>102.6</v>
      </c>
      <c r="AD15" s="30">
        <f t="shared" si="5"/>
        <v>84</v>
      </c>
    </row>
    <row r="16" spans="1:30" s="28" customFormat="1" ht="35.25" customHeight="1">
      <c r="A16" s="40" t="s">
        <v>75</v>
      </c>
      <c r="B16" s="14" t="s">
        <v>87</v>
      </c>
      <c r="C16" s="6">
        <v>13.6</v>
      </c>
      <c r="D16" s="46">
        <f>C16/20</f>
        <v>0.6799999999999999</v>
      </c>
      <c r="E16" s="14" t="s">
        <v>103</v>
      </c>
      <c r="F16" s="5">
        <v>2.89</v>
      </c>
      <c r="G16" s="31">
        <f>F16/5</f>
        <v>0.5780000000000001</v>
      </c>
      <c r="H16" s="15" t="s">
        <v>111</v>
      </c>
      <c r="I16" s="6">
        <v>12.6</v>
      </c>
      <c r="J16" s="16">
        <f>I16/20</f>
        <v>0.63</v>
      </c>
      <c r="K16" s="15" t="s">
        <v>111</v>
      </c>
      <c r="L16" s="6">
        <v>15.6</v>
      </c>
      <c r="M16" s="16">
        <f>L16/20</f>
        <v>0.78</v>
      </c>
      <c r="N16" s="15" t="s">
        <v>130</v>
      </c>
      <c r="O16" s="6">
        <v>17.38</v>
      </c>
      <c r="P16" s="16">
        <f>O16/10</f>
        <v>1.738</v>
      </c>
      <c r="Q16" s="15" t="s">
        <v>111</v>
      </c>
      <c r="R16" s="6">
        <v>15.52</v>
      </c>
      <c r="S16" s="31">
        <f>R16/20</f>
        <v>0.776</v>
      </c>
      <c r="T16" s="9"/>
      <c r="V16" s="3" t="s">
        <v>148</v>
      </c>
      <c r="W16" s="4">
        <v>40</v>
      </c>
      <c r="Y16" s="22">
        <f t="shared" si="0"/>
        <v>27.199999999999996</v>
      </c>
      <c r="Z16" s="22">
        <f t="shared" si="1"/>
        <v>23.120000000000005</v>
      </c>
      <c r="AA16" s="23">
        <f t="shared" si="3"/>
        <v>25.2</v>
      </c>
      <c r="AB16" s="23">
        <f t="shared" si="2"/>
        <v>31.200000000000003</v>
      </c>
      <c r="AC16" s="30">
        <f t="shared" si="4"/>
        <v>69.52</v>
      </c>
      <c r="AD16" s="30">
        <f t="shared" si="5"/>
        <v>31.04</v>
      </c>
    </row>
    <row r="17" spans="1:30" s="28" customFormat="1" ht="25.5" customHeight="1">
      <c r="A17" s="40" t="s">
        <v>61</v>
      </c>
      <c r="B17" s="15" t="s">
        <v>33</v>
      </c>
      <c r="C17" s="6">
        <v>0.45</v>
      </c>
      <c r="D17" s="46">
        <f>C17/1</f>
        <v>0.45</v>
      </c>
      <c r="E17" s="15" t="s">
        <v>33</v>
      </c>
      <c r="F17" s="5">
        <v>0.49</v>
      </c>
      <c r="G17" s="31">
        <f>F17/1</f>
        <v>0.49</v>
      </c>
      <c r="H17" s="15" t="s">
        <v>33</v>
      </c>
      <c r="I17" s="6">
        <v>0.52</v>
      </c>
      <c r="J17" s="16">
        <f>I17/1</f>
        <v>0.52</v>
      </c>
      <c r="K17" s="57" t="s">
        <v>122</v>
      </c>
      <c r="L17" s="58">
        <v>8.64</v>
      </c>
      <c r="M17" s="59">
        <f>L17/12</f>
        <v>0.7200000000000001</v>
      </c>
      <c r="N17" s="17" t="s">
        <v>33</v>
      </c>
      <c r="O17" s="6">
        <v>0.7</v>
      </c>
      <c r="P17" s="16">
        <f>O17/1</f>
        <v>0.7</v>
      </c>
      <c r="Q17" s="17" t="s">
        <v>132</v>
      </c>
      <c r="R17" s="6">
        <v>5.3</v>
      </c>
      <c r="S17" s="16">
        <f>R17/10</f>
        <v>0.53</v>
      </c>
      <c r="T17" s="9"/>
      <c r="V17" s="3"/>
      <c r="W17" s="4"/>
      <c r="Y17" s="22">
        <f t="shared" si="0"/>
        <v>0</v>
      </c>
      <c r="Z17" s="22">
        <f t="shared" si="1"/>
        <v>0</v>
      </c>
      <c r="AA17" s="23">
        <f t="shared" si="3"/>
        <v>0</v>
      </c>
      <c r="AB17" s="23">
        <f t="shared" si="2"/>
        <v>0</v>
      </c>
      <c r="AC17" s="30">
        <f t="shared" si="4"/>
        <v>0</v>
      </c>
      <c r="AD17" s="30">
        <f t="shared" si="5"/>
        <v>0</v>
      </c>
    </row>
    <row r="18" spans="1:30" s="28" customFormat="1" ht="15.75">
      <c r="A18" s="40" t="s">
        <v>62</v>
      </c>
      <c r="B18" s="15" t="s">
        <v>34</v>
      </c>
      <c r="C18" s="6">
        <v>3.5</v>
      </c>
      <c r="D18" s="46">
        <f>C18/100</f>
        <v>0.035</v>
      </c>
      <c r="E18" s="15" t="s">
        <v>34</v>
      </c>
      <c r="F18" s="5">
        <v>3.49</v>
      </c>
      <c r="G18" s="31">
        <f>F18/100</f>
        <v>0.0349</v>
      </c>
      <c r="H18" s="15" t="s">
        <v>34</v>
      </c>
      <c r="I18" s="6">
        <v>4.4</v>
      </c>
      <c r="J18" s="16">
        <f>I18/100</f>
        <v>0.044000000000000004</v>
      </c>
      <c r="K18" s="15" t="s">
        <v>34</v>
      </c>
      <c r="L18" s="6">
        <v>7</v>
      </c>
      <c r="M18" s="16">
        <f>L18/100</f>
        <v>0.07</v>
      </c>
      <c r="N18" s="15" t="s">
        <v>34</v>
      </c>
      <c r="O18" s="6">
        <v>5.2</v>
      </c>
      <c r="P18" s="16">
        <f>O18/100</f>
        <v>0.052000000000000005</v>
      </c>
      <c r="Q18" s="15" t="s">
        <v>34</v>
      </c>
      <c r="R18" s="6">
        <v>3.95</v>
      </c>
      <c r="S18" s="31">
        <f>R18/100</f>
        <v>0.0395</v>
      </c>
      <c r="T18" s="9"/>
      <c r="V18" s="87" t="s">
        <v>149</v>
      </c>
      <c r="W18" s="4">
        <v>1500</v>
      </c>
      <c r="Y18" s="22">
        <f t="shared" si="0"/>
        <v>52.50000000000001</v>
      </c>
      <c r="Z18" s="22">
        <f t="shared" si="1"/>
        <v>52.35</v>
      </c>
      <c r="AA18" s="23">
        <f t="shared" si="3"/>
        <v>66</v>
      </c>
      <c r="AB18" s="23">
        <f t="shared" si="2"/>
        <v>105.00000000000001</v>
      </c>
      <c r="AC18" s="30">
        <f t="shared" si="4"/>
        <v>78</v>
      </c>
      <c r="AD18" s="30">
        <f t="shared" si="5"/>
        <v>59.25</v>
      </c>
    </row>
    <row r="19" spans="1:30" s="28" customFormat="1" ht="33.75" customHeight="1">
      <c r="A19" s="40" t="s">
        <v>23</v>
      </c>
      <c r="B19" s="15" t="s">
        <v>35</v>
      </c>
      <c r="C19" s="6">
        <v>11.55</v>
      </c>
      <c r="D19" s="46">
        <f>C19/5</f>
        <v>2.31</v>
      </c>
      <c r="E19" s="14" t="s">
        <v>36</v>
      </c>
      <c r="F19" s="5">
        <v>2.74</v>
      </c>
      <c r="G19" s="31">
        <f>F19/10</f>
        <v>0.274</v>
      </c>
      <c r="H19" s="14" t="s">
        <v>36</v>
      </c>
      <c r="I19" s="6">
        <v>11</v>
      </c>
      <c r="J19" s="16">
        <f>I19/10</f>
        <v>1.1</v>
      </c>
      <c r="K19" s="14" t="s">
        <v>35</v>
      </c>
      <c r="L19" s="6">
        <v>3</v>
      </c>
      <c r="M19" s="16">
        <f>L19/5</f>
        <v>0.6</v>
      </c>
      <c r="N19" s="14" t="s">
        <v>36</v>
      </c>
      <c r="O19" s="6">
        <v>31.7</v>
      </c>
      <c r="P19" s="16">
        <f>O19/10</f>
        <v>3.17</v>
      </c>
      <c r="Q19" s="14" t="s">
        <v>36</v>
      </c>
      <c r="R19" s="6">
        <v>5.7</v>
      </c>
      <c r="S19" s="16">
        <f>R19/10</f>
        <v>0.5700000000000001</v>
      </c>
      <c r="T19" s="9"/>
      <c r="V19" s="3" t="s">
        <v>40</v>
      </c>
      <c r="W19" s="4">
        <v>20</v>
      </c>
      <c r="Y19" s="22">
        <f t="shared" si="0"/>
        <v>46.2</v>
      </c>
      <c r="Z19" s="22">
        <f t="shared" si="1"/>
        <v>5.48</v>
      </c>
      <c r="AA19" s="23">
        <f t="shared" si="3"/>
        <v>22</v>
      </c>
      <c r="AB19" s="23">
        <f t="shared" si="2"/>
        <v>12</v>
      </c>
      <c r="AC19" s="30">
        <f t="shared" si="4"/>
        <v>63.4</v>
      </c>
      <c r="AD19" s="30">
        <f t="shared" si="5"/>
        <v>11.400000000000002</v>
      </c>
    </row>
    <row r="20" spans="1:30" s="28" customFormat="1" ht="15.75">
      <c r="A20" s="40" t="s">
        <v>12</v>
      </c>
      <c r="B20" s="14" t="s">
        <v>36</v>
      </c>
      <c r="C20" s="6">
        <v>4.2</v>
      </c>
      <c r="D20" s="46">
        <f>C20/10</f>
        <v>0.42000000000000004</v>
      </c>
      <c r="E20" s="15" t="s">
        <v>35</v>
      </c>
      <c r="F20" s="5">
        <v>3.47</v>
      </c>
      <c r="G20" s="16">
        <f>F20/5</f>
        <v>0.6940000000000001</v>
      </c>
      <c r="H20" s="14" t="s">
        <v>36</v>
      </c>
      <c r="I20" s="6">
        <v>6.1</v>
      </c>
      <c r="J20" s="16">
        <f>I20/10</f>
        <v>0.61</v>
      </c>
      <c r="K20" s="15" t="s">
        <v>36</v>
      </c>
      <c r="L20" s="6">
        <v>3.8</v>
      </c>
      <c r="M20" s="16">
        <f>L20/10</f>
        <v>0.38</v>
      </c>
      <c r="N20" s="15" t="s">
        <v>35</v>
      </c>
      <c r="O20" s="6">
        <v>12.5</v>
      </c>
      <c r="P20" s="16">
        <f>O20/5</f>
        <v>2.5</v>
      </c>
      <c r="Q20" s="15" t="s">
        <v>34</v>
      </c>
      <c r="R20" s="6">
        <v>10.95</v>
      </c>
      <c r="S20" s="31">
        <f>R20/100</f>
        <v>0.10949999999999999</v>
      </c>
      <c r="T20" s="9"/>
      <c r="V20" s="3"/>
      <c r="W20" s="4"/>
      <c r="Y20" s="22">
        <f t="shared" si="0"/>
        <v>0</v>
      </c>
      <c r="Z20" s="22">
        <f t="shared" si="1"/>
        <v>0</v>
      </c>
      <c r="AA20" s="23">
        <f t="shared" si="3"/>
        <v>0</v>
      </c>
      <c r="AB20" s="23">
        <f t="shared" si="2"/>
        <v>0</v>
      </c>
      <c r="AC20" s="30">
        <f t="shared" si="4"/>
        <v>0</v>
      </c>
      <c r="AD20" s="30">
        <f t="shared" si="5"/>
        <v>0</v>
      </c>
    </row>
    <row r="21" spans="1:30" s="28" customFormat="1" ht="19.5" customHeight="1">
      <c r="A21" s="40" t="s">
        <v>13</v>
      </c>
      <c r="B21" s="15" t="s">
        <v>38</v>
      </c>
      <c r="C21" s="6">
        <v>4.06</v>
      </c>
      <c r="D21" s="46">
        <f>C21/1</f>
        <v>4.06</v>
      </c>
      <c r="E21" s="15" t="s">
        <v>38</v>
      </c>
      <c r="F21" s="5">
        <v>3.47</v>
      </c>
      <c r="G21" s="16">
        <f>F21/1</f>
        <v>3.47</v>
      </c>
      <c r="H21" s="14" t="s">
        <v>38</v>
      </c>
      <c r="I21" s="6">
        <v>3.9</v>
      </c>
      <c r="J21" s="16">
        <f>I21/1</f>
        <v>3.9</v>
      </c>
      <c r="K21" s="14" t="s">
        <v>38</v>
      </c>
      <c r="L21" s="6">
        <v>3.9</v>
      </c>
      <c r="M21" s="16">
        <f>L21/1</f>
        <v>3.9</v>
      </c>
      <c r="N21" s="14" t="s">
        <v>38</v>
      </c>
      <c r="O21" s="6">
        <v>4.78</v>
      </c>
      <c r="P21" s="16">
        <f>O21/1</f>
        <v>4.78</v>
      </c>
      <c r="Q21" s="14" t="s">
        <v>38</v>
      </c>
      <c r="R21" s="6">
        <v>3.99</v>
      </c>
      <c r="S21" s="16">
        <f>R21/1</f>
        <v>3.99</v>
      </c>
      <c r="T21" s="9"/>
      <c r="V21" s="3"/>
      <c r="W21" s="4"/>
      <c r="Y21" s="22">
        <f t="shared" si="0"/>
        <v>0</v>
      </c>
      <c r="Z21" s="22">
        <f t="shared" si="1"/>
        <v>0</v>
      </c>
      <c r="AA21" s="23">
        <f t="shared" si="3"/>
        <v>0</v>
      </c>
      <c r="AB21" s="23">
        <f t="shared" si="2"/>
        <v>0</v>
      </c>
      <c r="AC21" s="30">
        <f t="shared" si="4"/>
        <v>0</v>
      </c>
      <c r="AD21" s="30">
        <f t="shared" si="5"/>
        <v>0</v>
      </c>
    </row>
    <row r="22" spans="1:30" s="28" customFormat="1" ht="15.75">
      <c r="A22" s="40" t="s">
        <v>14</v>
      </c>
      <c r="B22" s="14" t="s">
        <v>38</v>
      </c>
      <c r="C22" s="6">
        <v>0.37</v>
      </c>
      <c r="D22" s="46">
        <f>C22/1</f>
        <v>0.37</v>
      </c>
      <c r="E22" s="14" t="s">
        <v>38</v>
      </c>
      <c r="F22" s="5">
        <v>0.93</v>
      </c>
      <c r="G22" s="16">
        <f>F22/1</f>
        <v>0.93</v>
      </c>
      <c r="H22" s="14" t="s">
        <v>113</v>
      </c>
      <c r="I22" s="6">
        <v>1.22</v>
      </c>
      <c r="J22" s="16">
        <f>I22/1</f>
        <v>1.22</v>
      </c>
      <c r="K22" s="14" t="s">
        <v>38</v>
      </c>
      <c r="L22" s="6">
        <v>1</v>
      </c>
      <c r="M22" s="16">
        <f>L22/1</f>
        <v>1</v>
      </c>
      <c r="N22" s="14" t="s">
        <v>38</v>
      </c>
      <c r="O22" s="6">
        <v>1.05</v>
      </c>
      <c r="P22" s="16">
        <f>O22/1</f>
        <v>1.05</v>
      </c>
      <c r="Q22" s="14" t="s">
        <v>37</v>
      </c>
      <c r="R22" s="6">
        <v>24.75</v>
      </c>
      <c r="S22" s="16">
        <f>R22/25</f>
        <v>0.99</v>
      </c>
      <c r="T22" s="9"/>
      <c r="V22" s="3" t="s">
        <v>40</v>
      </c>
      <c r="W22" s="4">
        <v>20</v>
      </c>
      <c r="Y22" s="22">
        <f t="shared" si="0"/>
        <v>7.4</v>
      </c>
      <c r="Z22" s="22">
        <f t="shared" si="1"/>
        <v>18.6</v>
      </c>
      <c r="AA22" s="23">
        <f t="shared" si="3"/>
        <v>24.4</v>
      </c>
      <c r="AB22" s="23">
        <f t="shared" si="2"/>
        <v>20</v>
      </c>
      <c r="AC22" s="30">
        <f t="shared" si="4"/>
        <v>21</v>
      </c>
      <c r="AD22" s="30">
        <f t="shared" si="5"/>
        <v>19.8</v>
      </c>
    </row>
    <row r="23" spans="1:30" s="28" customFormat="1" ht="19.5" customHeight="1">
      <c r="A23" s="40" t="s">
        <v>24</v>
      </c>
      <c r="B23" s="15" t="s">
        <v>38</v>
      </c>
      <c r="C23" s="6">
        <v>1.9</v>
      </c>
      <c r="D23" s="46">
        <f>C23/1</f>
        <v>1.9</v>
      </c>
      <c r="E23" s="15" t="s">
        <v>38</v>
      </c>
      <c r="F23" s="5">
        <v>1.7</v>
      </c>
      <c r="G23" s="16">
        <f>F23/1</f>
        <v>1.7</v>
      </c>
      <c r="H23" s="15" t="s">
        <v>38</v>
      </c>
      <c r="I23" s="6">
        <v>1.88</v>
      </c>
      <c r="J23" s="16">
        <f>I23/1</f>
        <v>1.88</v>
      </c>
      <c r="K23" s="14" t="s">
        <v>38</v>
      </c>
      <c r="L23" s="6">
        <v>1.88</v>
      </c>
      <c r="M23" s="16">
        <f>L23/1</f>
        <v>1.88</v>
      </c>
      <c r="N23" s="14" t="s">
        <v>38</v>
      </c>
      <c r="O23" s="6">
        <v>2.45</v>
      </c>
      <c r="P23" s="16">
        <f>O23/1</f>
        <v>2.45</v>
      </c>
      <c r="Q23" s="14" t="s">
        <v>38</v>
      </c>
      <c r="R23" s="6">
        <v>1.79</v>
      </c>
      <c r="S23" s="16">
        <f>R23/1</f>
        <v>1.79</v>
      </c>
      <c r="T23" s="9"/>
      <c r="V23" s="3"/>
      <c r="W23" s="4"/>
      <c r="Y23" s="22">
        <f t="shared" si="0"/>
        <v>0</v>
      </c>
      <c r="Z23" s="22">
        <f t="shared" si="1"/>
        <v>0</v>
      </c>
      <c r="AA23" s="23">
        <f t="shared" si="3"/>
        <v>0</v>
      </c>
      <c r="AB23" s="23">
        <f t="shared" si="2"/>
        <v>0</v>
      </c>
      <c r="AC23" s="30">
        <f t="shared" si="4"/>
        <v>0</v>
      </c>
      <c r="AD23" s="30">
        <f t="shared" si="5"/>
        <v>0</v>
      </c>
    </row>
    <row r="24" spans="1:30" s="28" customFormat="1" ht="21" customHeight="1">
      <c r="A24" s="40" t="s">
        <v>6</v>
      </c>
      <c r="B24" s="15" t="s">
        <v>38</v>
      </c>
      <c r="C24" s="6">
        <v>0.9</v>
      </c>
      <c r="D24" s="46">
        <f>C24/1</f>
        <v>0.9</v>
      </c>
      <c r="E24" s="15" t="s">
        <v>38</v>
      </c>
      <c r="F24" s="5">
        <v>1.67</v>
      </c>
      <c r="G24" s="16">
        <f>F24/1</f>
        <v>1.67</v>
      </c>
      <c r="H24" s="15" t="s">
        <v>38</v>
      </c>
      <c r="I24" s="6">
        <v>1.35</v>
      </c>
      <c r="J24" s="16">
        <f>I24/1</f>
        <v>1.35</v>
      </c>
      <c r="K24" s="14" t="s">
        <v>38</v>
      </c>
      <c r="L24" s="6">
        <v>1.45</v>
      </c>
      <c r="M24" s="16">
        <f>L24/1</f>
        <v>1.45</v>
      </c>
      <c r="N24" s="14" t="s">
        <v>38</v>
      </c>
      <c r="O24" s="6">
        <v>3.8</v>
      </c>
      <c r="P24" s="31">
        <f>O24/1</f>
        <v>3.8</v>
      </c>
      <c r="Q24" s="14" t="s">
        <v>38</v>
      </c>
      <c r="R24" s="6">
        <v>1.58</v>
      </c>
      <c r="S24" s="16">
        <f>R24/1</f>
        <v>1.58</v>
      </c>
      <c r="T24" s="9"/>
      <c r="V24" s="3" t="s">
        <v>35</v>
      </c>
      <c r="W24" s="4">
        <v>5</v>
      </c>
      <c r="Y24" s="22">
        <f t="shared" si="0"/>
        <v>4.5</v>
      </c>
      <c r="Z24" s="22">
        <f t="shared" si="1"/>
        <v>8.35</v>
      </c>
      <c r="AA24" s="23">
        <f t="shared" si="3"/>
        <v>6.75</v>
      </c>
      <c r="AB24" s="23">
        <f t="shared" si="2"/>
        <v>7.25</v>
      </c>
      <c r="AC24" s="30">
        <f t="shared" si="4"/>
        <v>19</v>
      </c>
      <c r="AD24" s="30">
        <f t="shared" si="5"/>
        <v>7.9</v>
      </c>
    </row>
    <row r="25" spans="1:30" s="28" customFormat="1" ht="20.25" customHeight="1">
      <c r="A25" s="40" t="s">
        <v>7</v>
      </c>
      <c r="B25" s="15" t="s">
        <v>41</v>
      </c>
      <c r="C25" s="6">
        <v>23.7</v>
      </c>
      <c r="D25" s="47">
        <f>C25/1000</f>
        <v>0.0237</v>
      </c>
      <c r="E25" s="15" t="s">
        <v>40</v>
      </c>
      <c r="F25" s="5">
        <v>0.4</v>
      </c>
      <c r="G25" s="16">
        <f>F25/20</f>
        <v>0.02</v>
      </c>
      <c r="H25" s="15" t="s">
        <v>41</v>
      </c>
      <c r="I25" s="6">
        <v>28</v>
      </c>
      <c r="J25" s="16">
        <f>I25/1000</f>
        <v>0.028</v>
      </c>
      <c r="K25" s="15" t="s">
        <v>50</v>
      </c>
      <c r="L25" s="6">
        <v>0.86</v>
      </c>
      <c r="M25" s="16">
        <f>L25/20</f>
        <v>0.043</v>
      </c>
      <c r="N25" s="15" t="s">
        <v>50</v>
      </c>
      <c r="O25" s="6">
        <v>0.7</v>
      </c>
      <c r="P25" s="16">
        <f>O25/20</f>
        <v>0.034999999999999996</v>
      </c>
      <c r="Q25" s="15" t="s">
        <v>133</v>
      </c>
      <c r="R25" s="6">
        <v>1.22</v>
      </c>
      <c r="S25" s="16">
        <f>R25/50</f>
        <v>0.024399999999999998</v>
      </c>
      <c r="T25" s="9"/>
      <c r="V25" s="3" t="s">
        <v>151</v>
      </c>
      <c r="W25" s="4">
        <v>1000</v>
      </c>
      <c r="Y25" s="22">
        <f t="shared" si="0"/>
        <v>23.7</v>
      </c>
      <c r="Z25" s="22">
        <f t="shared" si="1"/>
        <v>20</v>
      </c>
      <c r="AA25" s="23">
        <f t="shared" si="3"/>
        <v>28</v>
      </c>
      <c r="AB25" s="23">
        <f t="shared" si="2"/>
        <v>43</v>
      </c>
      <c r="AC25" s="30">
        <f t="shared" si="4"/>
        <v>34.99999999999999</v>
      </c>
      <c r="AD25" s="30">
        <f t="shared" si="5"/>
        <v>24.4</v>
      </c>
    </row>
    <row r="26" spans="1:30" s="28" customFormat="1" ht="23.25" customHeight="1">
      <c r="A26" s="40" t="s">
        <v>8</v>
      </c>
      <c r="B26" s="37" t="s">
        <v>88</v>
      </c>
      <c r="C26" s="6">
        <v>23.7</v>
      </c>
      <c r="D26" s="46">
        <f>C26/300</f>
        <v>0.079</v>
      </c>
      <c r="E26" s="57" t="s">
        <v>104</v>
      </c>
      <c r="F26" s="5">
        <v>1.44</v>
      </c>
      <c r="G26" s="16">
        <f>F26/10</f>
        <v>0.144</v>
      </c>
      <c r="H26" s="37" t="s">
        <v>114</v>
      </c>
      <c r="I26" s="6">
        <v>22.8</v>
      </c>
      <c r="J26" s="16">
        <f>I26/300</f>
        <v>0.076</v>
      </c>
      <c r="K26" s="15" t="s">
        <v>51</v>
      </c>
      <c r="L26" s="6">
        <v>1.02</v>
      </c>
      <c r="M26" s="16">
        <f>L26/10</f>
        <v>0.10200000000000001</v>
      </c>
      <c r="N26" s="15" t="s">
        <v>131</v>
      </c>
      <c r="O26" s="6">
        <v>41.6</v>
      </c>
      <c r="P26" s="16">
        <f>O26/260</f>
        <v>0.16</v>
      </c>
      <c r="Q26" s="15" t="s">
        <v>50</v>
      </c>
      <c r="R26" s="6">
        <v>1.99</v>
      </c>
      <c r="S26" s="16">
        <f>R26/20</f>
        <v>0.0995</v>
      </c>
      <c r="T26" s="9"/>
      <c r="V26" s="3" t="s">
        <v>150</v>
      </c>
      <c r="W26" s="4">
        <v>600</v>
      </c>
      <c r="Y26" s="22">
        <f t="shared" si="0"/>
        <v>47.4</v>
      </c>
      <c r="Z26" s="22">
        <f t="shared" si="1"/>
        <v>86.39999999999999</v>
      </c>
      <c r="AA26" s="23">
        <f t="shared" si="3"/>
        <v>45.6</v>
      </c>
      <c r="AB26" s="23">
        <f t="shared" si="2"/>
        <v>61.2</v>
      </c>
      <c r="AC26" s="30">
        <f t="shared" si="4"/>
        <v>96</v>
      </c>
      <c r="AD26" s="30">
        <f t="shared" si="5"/>
        <v>59.7</v>
      </c>
    </row>
    <row r="27" spans="1:30" s="28" customFormat="1" ht="47.25">
      <c r="A27" s="40" t="s">
        <v>25</v>
      </c>
      <c r="B27" s="15" t="s">
        <v>89</v>
      </c>
      <c r="C27" s="6">
        <v>1.16</v>
      </c>
      <c r="D27" s="46">
        <f>C27/10</f>
        <v>0.11599999999999999</v>
      </c>
      <c r="E27" s="17" t="s">
        <v>42</v>
      </c>
      <c r="F27" s="5">
        <v>0.81</v>
      </c>
      <c r="G27" s="16">
        <f>F27/10</f>
        <v>0.081</v>
      </c>
      <c r="H27" s="15" t="s">
        <v>115</v>
      </c>
      <c r="I27" s="6">
        <v>0.98</v>
      </c>
      <c r="J27" s="16">
        <f>I27/10</f>
        <v>0.098</v>
      </c>
      <c r="K27" s="15" t="s">
        <v>115</v>
      </c>
      <c r="L27" s="6">
        <v>1.5</v>
      </c>
      <c r="M27" s="16">
        <f>L27/10</f>
        <v>0.15</v>
      </c>
      <c r="N27" s="15" t="s">
        <v>115</v>
      </c>
      <c r="O27" s="6">
        <v>1.9</v>
      </c>
      <c r="P27" s="16">
        <f>O27/10</f>
        <v>0.19</v>
      </c>
      <c r="Q27" s="15" t="s">
        <v>115</v>
      </c>
      <c r="R27" s="6">
        <v>1.59</v>
      </c>
      <c r="S27" s="16">
        <f>R27/10</f>
        <v>0.159</v>
      </c>
      <c r="T27" s="9"/>
      <c r="V27" s="3" t="s">
        <v>53</v>
      </c>
      <c r="W27" s="4">
        <v>720</v>
      </c>
      <c r="Y27" s="22">
        <f t="shared" si="0"/>
        <v>83.52</v>
      </c>
      <c r="Z27" s="22">
        <f t="shared" si="1"/>
        <v>58.32</v>
      </c>
      <c r="AA27" s="23">
        <f t="shared" si="3"/>
        <v>70.56</v>
      </c>
      <c r="AB27" s="23">
        <f t="shared" si="2"/>
        <v>108</v>
      </c>
      <c r="AC27" s="30">
        <f t="shared" si="4"/>
        <v>136.8</v>
      </c>
      <c r="AD27" s="30">
        <f t="shared" si="5"/>
        <v>114.48</v>
      </c>
    </row>
    <row r="28" spans="1:30" s="28" customFormat="1" ht="47.25">
      <c r="A28" s="40" t="s">
        <v>26</v>
      </c>
      <c r="B28" s="15" t="s">
        <v>89</v>
      </c>
      <c r="C28" s="6">
        <v>1.16</v>
      </c>
      <c r="D28" s="46">
        <f>C28/10</f>
        <v>0.11599999999999999</v>
      </c>
      <c r="E28" s="17" t="s">
        <v>42</v>
      </c>
      <c r="F28" s="5">
        <v>1.37</v>
      </c>
      <c r="G28" s="16">
        <f>F28/10</f>
        <v>0.137</v>
      </c>
      <c r="H28" s="15" t="s">
        <v>115</v>
      </c>
      <c r="I28" s="6">
        <v>0.94</v>
      </c>
      <c r="J28" s="16">
        <f>I28/10</f>
        <v>0.094</v>
      </c>
      <c r="K28" s="15" t="s">
        <v>115</v>
      </c>
      <c r="L28" s="6">
        <v>1.29</v>
      </c>
      <c r="M28" s="16">
        <f>L28/10</f>
        <v>0.129</v>
      </c>
      <c r="N28" s="15" t="s">
        <v>115</v>
      </c>
      <c r="O28" s="6">
        <v>1.74</v>
      </c>
      <c r="P28" s="16">
        <f>O28/10</f>
        <v>0.174</v>
      </c>
      <c r="Q28" s="15" t="s">
        <v>115</v>
      </c>
      <c r="R28" s="61">
        <v>1.155</v>
      </c>
      <c r="S28" s="31">
        <f>R28/10</f>
        <v>0.1155</v>
      </c>
      <c r="T28" s="9"/>
      <c r="V28" s="3"/>
      <c r="W28" s="4"/>
      <c r="Y28" s="22">
        <f t="shared" si="0"/>
        <v>0</v>
      </c>
      <c r="Z28" s="22">
        <f t="shared" si="1"/>
        <v>0</v>
      </c>
      <c r="AA28" s="23">
        <f t="shared" si="3"/>
        <v>0</v>
      </c>
      <c r="AB28" s="23">
        <f t="shared" si="2"/>
        <v>0</v>
      </c>
      <c r="AC28" s="30">
        <f t="shared" si="4"/>
        <v>0</v>
      </c>
      <c r="AD28" s="30">
        <f t="shared" si="5"/>
        <v>0</v>
      </c>
    </row>
    <row r="29" spans="1:30" s="28" customFormat="1" ht="72.75" customHeight="1">
      <c r="A29" s="41" t="s">
        <v>83</v>
      </c>
      <c r="B29" s="15" t="s">
        <v>91</v>
      </c>
      <c r="C29" s="6">
        <v>5.1</v>
      </c>
      <c r="D29" s="46">
        <f>C29/2</f>
        <v>2.55</v>
      </c>
      <c r="E29" s="14" t="s">
        <v>54</v>
      </c>
      <c r="F29" s="5">
        <v>5.76</v>
      </c>
      <c r="G29" s="16">
        <f>F29/2</f>
        <v>2.88</v>
      </c>
      <c r="H29" s="15" t="s">
        <v>54</v>
      </c>
      <c r="I29" s="6">
        <v>5.38</v>
      </c>
      <c r="J29" s="16">
        <f>I29/2</f>
        <v>2.69</v>
      </c>
      <c r="K29" s="15" t="s">
        <v>55</v>
      </c>
      <c r="L29" s="6">
        <v>5.6</v>
      </c>
      <c r="M29" s="16">
        <f>L29/2</f>
        <v>2.8</v>
      </c>
      <c r="N29" s="15" t="s">
        <v>55</v>
      </c>
      <c r="O29" s="6">
        <v>9.02</v>
      </c>
      <c r="P29" s="16">
        <f>O29/2</f>
        <v>4.51</v>
      </c>
      <c r="Q29" s="15" t="s">
        <v>55</v>
      </c>
      <c r="R29" s="6">
        <v>7.99</v>
      </c>
      <c r="S29" s="31">
        <f>R29/2</f>
        <v>3.995</v>
      </c>
      <c r="T29" s="9"/>
      <c r="V29" s="3"/>
      <c r="W29" s="4"/>
      <c r="Y29" s="22">
        <f t="shared" si="0"/>
        <v>0</v>
      </c>
      <c r="Z29" s="22">
        <f t="shared" si="1"/>
        <v>0</v>
      </c>
      <c r="AA29" s="23">
        <f t="shared" si="3"/>
        <v>0</v>
      </c>
      <c r="AB29" s="23">
        <f t="shared" si="2"/>
        <v>0</v>
      </c>
      <c r="AC29" s="30">
        <f t="shared" si="4"/>
        <v>0</v>
      </c>
      <c r="AD29" s="30">
        <f t="shared" si="5"/>
        <v>0</v>
      </c>
    </row>
    <row r="30" spans="1:30" s="28" customFormat="1" ht="69" customHeight="1">
      <c r="A30" s="41" t="s">
        <v>90</v>
      </c>
      <c r="B30" s="15" t="s">
        <v>92</v>
      </c>
      <c r="C30" s="6">
        <v>5.1</v>
      </c>
      <c r="D30" s="46">
        <f>C30/2</f>
        <v>2.55</v>
      </c>
      <c r="E30" s="14" t="s">
        <v>54</v>
      </c>
      <c r="F30" s="5">
        <v>5.76</v>
      </c>
      <c r="G30" s="16">
        <f>F30/2</f>
        <v>2.88</v>
      </c>
      <c r="H30" s="15" t="s">
        <v>54</v>
      </c>
      <c r="I30" s="6">
        <v>4.98</v>
      </c>
      <c r="J30" s="16">
        <f>I30/2</f>
        <v>2.49</v>
      </c>
      <c r="K30" s="15" t="s">
        <v>55</v>
      </c>
      <c r="L30" s="6">
        <v>6.2</v>
      </c>
      <c r="M30" s="16">
        <f>L30/2</f>
        <v>3.1</v>
      </c>
      <c r="N30" s="15" t="s">
        <v>55</v>
      </c>
      <c r="O30" s="6">
        <v>6.98</v>
      </c>
      <c r="P30" s="16">
        <f>O30/2</f>
        <v>3.49</v>
      </c>
      <c r="Q30" s="15" t="s">
        <v>55</v>
      </c>
      <c r="R30" s="6">
        <v>6.1</v>
      </c>
      <c r="S30" s="16">
        <f>R30/2</f>
        <v>3.05</v>
      </c>
      <c r="T30" s="29"/>
      <c r="V30" s="30" t="s">
        <v>142</v>
      </c>
      <c r="W30" s="4">
        <v>100</v>
      </c>
      <c r="Y30" s="22">
        <f t="shared" si="0"/>
        <v>254.99999999999997</v>
      </c>
      <c r="Z30" s="22">
        <f t="shared" si="1"/>
        <v>288</v>
      </c>
      <c r="AA30" s="23">
        <f t="shared" si="3"/>
        <v>249</v>
      </c>
      <c r="AB30" s="23">
        <f t="shared" si="2"/>
        <v>310</v>
      </c>
      <c r="AC30" s="30">
        <f t="shared" si="4"/>
        <v>349</v>
      </c>
      <c r="AD30" s="30">
        <f t="shared" si="5"/>
        <v>305</v>
      </c>
    </row>
    <row r="31" spans="1:30" s="28" customFormat="1" ht="15.75">
      <c r="A31" s="40" t="s">
        <v>9</v>
      </c>
      <c r="B31" s="15" t="s">
        <v>38</v>
      </c>
      <c r="C31" s="7">
        <v>0.91</v>
      </c>
      <c r="D31" s="48">
        <f aca="true" t="shared" si="6" ref="D31:D41">C31/1</f>
        <v>0.91</v>
      </c>
      <c r="E31" s="20" t="s">
        <v>38</v>
      </c>
      <c r="F31" s="5">
        <v>0.78</v>
      </c>
      <c r="G31" s="16">
        <f>F31/1</f>
        <v>0.78</v>
      </c>
      <c r="H31" s="20" t="s">
        <v>38</v>
      </c>
      <c r="I31" s="5">
        <v>1.3</v>
      </c>
      <c r="J31" s="16">
        <f>I31/1</f>
        <v>1.3</v>
      </c>
      <c r="K31" s="20" t="s">
        <v>38</v>
      </c>
      <c r="L31" s="5">
        <v>1.9</v>
      </c>
      <c r="M31" s="16">
        <f aca="true" t="shared" si="7" ref="M31:M52">L31/1</f>
        <v>1.9</v>
      </c>
      <c r="N31" s="20" t="s">
        <v>38</v>
      </c>
      <c r="O31" s="5">
        <v>2.35</v>
      </c>
      <c r="P31" s="16">
        <f aca="true" t="shared" si="8" ref="P31:P50">O31/1</f>
        <v>2.35</v>
      </c>
      <c r="Q31" s="20" t="s">
        <v>38</v>
      </c>
      <c r="R31" s="5">
        <v>0.78</v>
      </c>
      <c r="S31" s="16">
        <f aca="true" t="shared" si="9" ref="S31:S49">R31/1</f>
        <v>0.78</v>
      </c>
      <c r="T31" s="29"/>
      <c r="V31" s="4" t="s">
        <v>40</v>
      </c>
      <c r="W31" s="4">
        <v>20</v>
      </c>
      <c r="Y31" s="22">
        <f t="shared" si="0"/>
        <v>18.2</v>
      </c>
      <c r="Z31" s="22">
        <f t="shared" si="1"/>
        <v>15.600000000000001</v>
      </c>
      <c r="AA31" s="23">
        <f t="shared" si="3"/>
        <v>26</v>
      </c>
      <c r="AB31" s="23">
        <f t="shared" si="2"/>
        <v>38</v>
      </c>
      <c r="AC31" s="30">
        <f t="shared" si="4"/>
        <v>47</v>
      </c>
      <c r="AD31" s="30">
        <f t="shared" si="5"/>
        <v>15.600000000000001</v>
      </c>
    </row>
    <row r="32" spans="1:30" s="28" customFormat="1" ht="15.75">
      <c r="A32" s="40" t="s">
        <v>10</v>
      </c>
      <c r="B32" s="15" t="s">
        <v>38</v>
      </c>
      <c r="C32" s="7">
        <v>0.92</v>
      </c>
      <c r="D32" s="48">
        <f t="shared" si="6"/>
        <v>0.92</v>
      </c>
      <c r="E32" s="20" t="s">
        <v>38</v>
      </c>
      <c r="F32" s="5">
        <v>0.78</v>
      </c>
      <c r="G32" s="16">
        <f>F32/1</f>
        <v>0.78</v>
      </c>
      <c r="H32" s="20" t="s">
        <v>38</v>
      </c>
      <c r="I32" s="5">
        <v>1.59</v>
      </c>
      <c r="J32" s="16">
        <f>I32/1</f>
        <v>1.59</v>
      </c>
      <c r="K32" s="20" t="s">
        <v>38</v>
      </c>
      <c r="L32" s="5">
        <v>1.3</v>
      </c>
      <c r="M32" s="16">
        <f t="shared" si="7"/>
        <v>1.3</v>
      </c>
      <c r="N32" s="20" t="s">
        <v>38</v>
      </c>
      <c r="O32" s="5">
        <v>4.5</v>
      </c>
      <c r="P32" s="16">
        <f t="shared" si="8"/>
        <v>4.5</v>
      </c>
      <c r="Q32" s="20" t="s">
        <v>38</v>
      </c>
      <c r="R32" s="5">
        <v>1.74</v>
      </c>
      <c r="S32" s="16">
        <f t="shared" si="9"/>
        <v>1.74</v>
      </c>
      <c r="V32" s="30"/>
      <c r="W32" s="4"/>
      <c r="Y32" s="22">
        <f t="shared" si="0"/>
        <v>0</v>
      </c>
      <c r="Z32" s="22">
        <f t="shared" si="1"/>
        <v>0</v>
      </c>
      <c r="AA32" s="23">
        <f t="shared" si="3"/>
        <v>0</v>
      </c>
      <c r="AB32" s="23">
        <f t="shared" si="2"/>
        <v>0</v>
      </c>
      <c r="AC32" s="30">
        <f t="shared" si="4"/>
        <v>0</v>
      </c>
      <c r="AD32" s="30">
        <f t="shared" si="5"/>
        <v>0</v>
      </c>
    </row>
    <row r="33" spans="1:30" s="28" customFormat="1" ht="15.75">
      <c r="A33" s="40" t="s">
        <v>15</v>
      </c>
      <c r="B33" s="15" t="s">
        <v>93</v>
      </c>
      <c r="C33" s="7">
        <v>0.34</v>
      </c>
      <c r="D33" s="49">
        <f>C33/3</f>
        <v>0.11333333333333334</v>
      </c>
      <c r="E33" s="20" t="s">
        <v>40</v>
      </c>
      <c r="F33" s="5">
        <v>3.39</v>
      </c>
      <c r="G33" s="16">
        <f>F33/20</f>
        <v>0.1695</v>
      </c>
      <c r="H33" s="15" t="s">
        <v>93</v>
      </c>
      <c r="I33" s="54">
        <v>0.417</v>
      </c>
      <c r="J33" s="16">
        <f>I33/3</f>
        <v>0.13899999999999998</v>
      </c>
      <c r="K33" s="15" t="s">
        <v>93</v>
      </c>
      <c r="L33" s="5">
        <v>0.7</v>
      </c>
      <c r="M33" s="16">
        <f>L33/3</f>
        <v>0.2333333333333333</v>
      </c>
      <c r="N33" s="15" t="s">
        <v>43</v>
      </c>
      <c r="O33" s="5">
        <v>4.99</v>
      </c>
      <c r="P33" s="16">
        <f>O33/15</f>
        <v>0.33266666666666667</v>
      </c>
      <c r="Q33" s="15" t="s">
        <v>36</v>
      </c>
      <c r="R33" s="5">
        <v>1.9</v>
      </c>
      <c r="S33" s="16">
        <f>R33/10</f>
        <v>0.19</v>
      </c>
      <c r="V33" s="30"/>
      <c r="W33" s="4"/>
      <c r="Y33" s="22">
        <f t="shared" si="0"/>
        <v>0</v>
      </c>
      <c r="Z33" s="22">
        <f t="shared" si="1"/>
        <v>0</v>
      </c>
      <c r="AA33" s="23">
        <f t="shared" si="3"/>
        <v>0</v>
      </c>
      <c r="AB33" s="23">
        <f t="shared" si="2"/>
        <v>0</v>
      </c>
      <c r="AC33" s="30">
        <f t="shared" si="4"/>
        <v>0</v>
      </c>
      <c r="AD33" s="30">
        <f t="shared" si="5"/>
        <v>0</v>
      </c>
    </row>
    <row r="34" spans="1:30" s="28" customFormat="1" ht="15.75">
      <c r="A34" s="40" t="s">
        <v>16</v>
      </c>
      <c r="B34" s="14" t="s">
        <v>38</v>
      </c>
      <c r="C34" s="7">
        <v>6.45</v>
      </c>
      <c r="D34" s="50">
        <f t="shared" si="6"/>
        <v>6.45</v>
      </c>
      <c r="E34" s="20" t="s">
        <v>38</v>
      </c>
      <c r="F34" s="5">
        <v>5.3</v>
      </c>
      <c r="G34" s="16">
        <f aca="true" t="shared" si="10" ref="G34:G41">F34/1</f>
        <v>5.3</v>
      </c>
      <c r="H34" s="20" t="s">
        <v>116</v>
      </c>
      <c r="I34" s="5">
        <v>3.89</v>
      </c>
      <c r="J34" s="16">
        <f aca="true" t="shared" si="11" ref="J34:J49">I34/1</f>
        <v>3.89</v>
      </c>
      <c r="K34" s="20" t="s">
        <v>38</v>
      </c>
      <c r="L34" s="5">
        <v>2.1</v>
      </c>
      <c r="M34" s="16">
        <f>L34/1</f>
        <v>2.1</v>
      </c>
      <c r="N34" s="20" t="s">
        <v>38</v>
      </c>
      <c r="O34" s="5">
        <v>7.4</v>
      </c>
      <c r="P34" s="16">
        <f>O34/1</f>
        <v>7.4</v>
      </c>
      <c r="Q34" s="20" t="s">
        <v>38</v>
      </c>
      <c r="R34" s="5">
        <v>5.36</v>
      </c>
      <c r="S34" s="16">
        <f>R34/1</f>
        <v>5.36</v>
      </c>
      <c r="V34" s="30"/>
      <c r="W34" s="4"/>
      <c r="Y34" s="22">
        <f t="shared" si="0"/>
        <v>0</v>
      </c>
      <c r="Z34" s="22">
        <f t="shared" si="1"/>
        <v>0</v>
      </c>
      <c r="AA34" s="23">
        <f t="shared" si="3"/>
        <v>0</v>
      </c>
      <c r="AB34" s="23">
        <f t="shared" si="2"/>
        <v>0</v>
      </c>
      <c r="AC34" s="30">
        <f t="shared" si="4"/>
        <v>0</v>
      </c>
      <c r="AD34" s="30">
        <f t="shared" si="5"/>
        <v>0</v>
      </c>
    </row>
    <row r="35" spans="1:30" s="28" customFormat="1" ht="15.75">
      <c r="A35" s="40" t="s">
        <v>63</v>
      </c>
      <c r="B35" s="15" t="s">
        <v>38</v>
      </c>
      <c r="C35" s="7">
        <v>0.87</v>
      </c>
      <c r="D35" s="48">
        <f t="shared" si="6"/>
        <v>0.87</v>
      </c>
      <c r="E35" s="19" t="s">
        <v>38</v>
      </c>
      <c r="F35" s="5">
        <v>0.85</v>
      </c>
      <c r="G35" s="16">
        <f t="shared" si="10"/>
        <v>0.85</v>
      </c>
      <c r="H35" s="19" t="s">
        <v>38</v>
      </c>
      <c r="I35" s="5">
        <v>1.05</v>
      </c>
      <c r="J35" s="16">
        <f t="shared" si="11"/>
        <v>1.05</v>
      </c>
      <c r="K35" s="19" t="s">
        <v>38</v>
      </c>
      <c r="L35" s="5">
        <v>1.2</v>
      </c>
      <c r="M35" s="16">
        <f t="shared" si="7"/>
        <v>1.2</v>
      </c>
      <c r="N35" s="19" t="s">
        <v>38</v>
      </c>
      <c r="O35" s="5">
        <v>1.3</v>
      </c>
      <c r="P35" s="16">
        <f t="shared" si="8"/>
        <v>1.3</v>
      </c>
      <c r="Q35" s="19" t="s">
        <v>38</v>
      </c>
      <c r="R35" s="5">
        <v>0.9</v>
      </c>
      <c r="S35" s="16">
        <f t="shared" si="9"/>
        <v>0.9</v>
      </c>
      <c r="V35" s="4" t="s">
        <v>36</v>
      </c>
      <c r="W35" s="4">
        <v>10</v>
      </c>
      <c r="Y35" s="22">
        <f t="shared" si="0"/>
        <v>8.7</v>
      </c>
      <c r="Z35" s="22">
        <f t="shared" si="1"/>
        <v>8.5</v>
      </c>
      <c r="AA35" s="23">
        <f t="shared" si="3"/>
        <v>10.5</v>
      </c>
      <c r="AB35" s="23">
        <f t="shared" si="2"/>
        <v>12</v>
      </c>
      <c r="AC35" s="30">
        <f t="shared" si="4"/>
        <v>13</v>
      </c>
      <c r="AD35" s="30">
        <f t="shared" si="5"/>
        <v>9</v>
      </c>
    </row>
    <row r="36" spans="1:30" s="28" customFormat="1" ht="15.75">
      <c r="A36" s="40" t="s">
        <v>64</v>
      </c>
      <c r="B36" s="32" t="s">
        <v>38</v>
      </c>
      <c r="C36" s="24">
        <v>0.8</v>
      </c>
      <c r="D36" s="51">
        <f t="shared" si="6"/>
        <v>0.8</v>
      </c>
      <c r="E36" s="25" t="s">
        <v>38</v>
      </c>
      <c r="F36" s="26">
        <v>0.92</v>
      </c>
      <c r="G36" s="27">
        <f t="shared" si="10"/>
        <v>0.92</v>
      </c>
      <c r="H36" s="25" t="s">
        <v>38</v>
      </c>
      <c r="I36" s="26">
        <v>1.05</v>
      </c>
      <c r="J36" s="27">
        <f t="shared" si="11"/>
        <v>1.05</v>
      </c>
      <c r="K36" s="25" t="s">
        <v>38</v>
      </c>
      <c r="L36" s="26">
        <v>1.99</v>
      </c>
      <c r="M36" s="27">
        <f t="shared" si="7"/>
        <v>1.99</v>
      </c>
      <c r="N36" s="25" t="s">
        <v>38</v>
      </c>
      <c r="O36" s="26">
        <v>3.55</v>
      </c>
      <c r="P36" s="27">
        <f t="shared" si="8"/>
        <v>3.55</v>
      </c>
      <c r="Q36" s="25" t="s">
        <v>38</v>
      </c>
      <c r="R36" s="26">
        <v>0.78</v>
      </c>
      <c r="S36" s="27">
        <f t="shared" si="9"/>
        <v>0.78</v>
      </c>
      <c r="V36" s="30"/>
      <c r="W36" s="4"/>
      <c r="Y36" s="22">
        <f t="shared" si="0"/>
        <v>0</v>
      </c>
      <c r="Z36" s="22">
        <f t="shared" si="1"/>
        <v>0</v>
      </c>
      <c r="AA36" s="23">
        <f t="shared" si="3"/>
        <v>0</v>
      </c>
      <c r="AB36" s="23">
        <f t="shared" si="2"/>
        <v>0</v>
      </c>
      <c r="AC36" s="30">
        <f t="shared" si="4"/>
        <v>0</v>
      </c>
      <c r="AD36" s="30">
        <f t="shared" si="5"/>
        <v>0</v>
      </c>
    </row>
    <row r="37" spans="1:30" s="28" customFormat="1" ht="16.5" customHeight="1">
      <c r="A37" s="40" t="s">
        <v>65</v>
      </c>
      <c r="B37" s="32" t="s">
        <v>38</v>
      </c>
      <c r="C37" s="24">
        <v>1.01</v>
      </c>
      <c r="D37" s="51">
        <f t="shared" si="6"/>
        <v>1.01</v>
      </c>
      <c r="E37" s="25" t="s">
        <v>38</v>
      </c>
      <c r="F37" s="26">
        <v>1.81</v>
      </c>
      <c r="G37" s="27">
        <f t="shared" si="10"/>
        <v>1.81</v>
      </c>
      <c r="H37" s="25" t="s">
        <v>38</v>
      </c>
      <c r="I37" s="26">
        <v>1.61</v>
      </c>
      <c r="J37" s="27">
        <f t="shared" si="11"/>
        <v>1.61</v>
      </c>
      <c r="K37" s="25" t="s">
        <v>38</v>
      </c>
      <c r="L37" s="26">
        <v>1.54</v>
      </c>
      <c r="M37" s="27">
        <f t="shared" si="7"/>
        <v>1.54</v>
      </c>
      <c r="N37" s="25" t="s">
        <v>38</v>
      </c>
      <c r="O37" s="26">
        <v>1.85</v>
      </c>
      <c r="P37" s="27">
        <f t="shared" si="8"/>
        <v>1.85</v>
      </c>
      <c r="Q37" s="25" t="s">
        <v>38</v>
      </c>
      <c r="R37" s="26">
        <v>1.13</v>
      </c>
      <c r="S37" s="27">
        <f t="shared" si="9"/>
        <v>1.13</v>
      </c>
      <c r="V37" s="30"/>
      <c r="W37" s="4"/>
      <c r="Y37" s="22">
        <f t="shared" si="0"/>
        <v>0</v>
      </c>
      <c r="Z37" s="22">
        <f t="shared" si="1"/>
        <v>0</v>
      </c>
      <c r="AA37" s="23">
        <f t="shared" si="3"/>
        <v>0</v>
      </c>
      <c r="AB37" s="23">
        <f t="shared" si="2"/>
        <v>0</v>
      </c>
      <c r="AC37" s="30">
        <f t="shared" si="4"/>
        <v>0</v>
      </c>
      <c r="AD37" s="30">
        <f t="shared" si="5"/>
        <v>0</v>
      </c>
    </row>
    <row r="38" spans="1:30" s="28" customFormat="1" ht="15.75">
      <c r="A38" s="40" t="s">
        <v>66</v>
      </c>
      <c r="B38" s="32" t="s">
        <v>38</v>
      </c>
      <c r="C38" s="24">
        <v>3.49</v>
      </c>
      <c r="D38" s="51">
        <f t="shared" si="6"/>
        <v>3.49</v>
      </c>
      <c r="E38" s="25" t="s">
        <v>38</v>
      </c>
      <c r="F38" s="26">
        <v>2.64</v>
      </c>
      <c r="G38" s="27">
        <f t="shared" si="10"/>
        <v>2.64</v>
      </c>
      <c r="H38" s="25" t="s">
        <v>38</v>
      </c>
      <c r="I38" s="26">
        <v>3.18</v>
      </c>
      <c r="J38" s="27">
        <f>I38/1</f>
        <v>3.18</v>
      </c>
      <c r="K38" s="25" t="s">
        <v>38</v>
      </c>
      <c r="L38" s="26">
        <v>3.05</v>
      </c>
      <c r="M38" s="27">
        <f t="shared" si="7"/>
        <v>3.05</v>
      </c>
      <c r="N38" s="25" t="s">
        <v>38</v>
      </c>
      <c r="O38" s="26">
        <v>4.98</v>
      </c>
      <c r="P38" s="27">
        <f t="shared" si="8"/>
        <v>4.98</v>
      </c>
      <c r="Q38" s="25" t="s">
        <v>38</v>
      </c>
      <c r="R38" s="26">
        <v>3.26</v>
      </c>
      <c r="S38" s="27">
        <f t="shared" si="9"/>
        <v>3.26</v>
      </c>
      <c r="V38" s="4" t="s">
        <v>152</v>
      </c>
      <c r="W38" s="4">
        <v>2</v>
      </c>
      <c r="Y38" s="22">
        <f t="shared" si="0"/>
        <v>6.98</v>
      </c>
      <c r="Z38" s="22">
        <f t="shared" si="1"/>
        <v>5.28</v>
      </c>
      <c r="AA38" s="23">
        <f t="shared" si="3"/>
        <v>6.36</v>
      </c>
      <c r="AB38" s="23">
        <f t="shared" si="2"/>
        <v>6.1</v>
      </c>
      <c r="AC38" s="30">
        <f t="shared" si="4"/>
        <v>9.96</v>
      </c>
      <c r="AD38" s="30">
        <f t="shared" si="5"/>
        <v>6.52</v>
      </c>
    </row>
    <row r="39" spans="1:30" s="28" customFormat="1" ht="25.5">
      <c r="A39" s="40" t="s">
        <v>17</v>
      </c>
      <c r="B39" s="32" t="s">
        <v>94</v>
      </c>
      <c r="C39" s="24">
        <v>0.81</v>
      </c>
      <c r="D39" s="51">
        <f t="shared" si="6"/>
        <v>0.81</v>
      </c>
      <c r="E39" s="25" t="s">
        <v>38</v>
      </c>
      <c r="F39" s="26">
        <v>0.61</v>
      </c>
      <c r="G39" s="27">
        <f t="shared" si="10"/>
        <v>0.61</v>
      </c>
      <c r="H39" s="32" t="s">
        <v>94</v>
      </c>
      <c r="I39" s="26">
        <v>0.79</v>
      </c>
      <c r="J39" s="27">
        <f t="shared" si="11"/>
        <v>0.79</v>
      </c>
      <c r="K39" s="25" t="s">
        <v>38</v>
      </c>
      <c r="L39" s="26">
        <v>0.68</v>
      </c>
      <c r="M39" s="27">
        <f t="shared" si="7"/>
        <v>0.68</v>
      </c>
      <c r="N39" s="25" t="s">
        <v>38</v>
      </c>
      <c r="O39" s="26">
        <v>0.7</v>
      </c>
      <c r="P39" s="27">
        <f t="shared" si="8"/>
        <v>0.7</v>
      </c>
      <c r="Q39" s="25" t="s">
        <v>38</v>
      </c>
      <c r="R39" s="26">
        <v>0.69</v>
      </c>
      <c r="S39" s="27">
        <f t="shared" si="9"/>
        <v>0.69</v>
      </c>
      <c r="V39" s="30"/>
      <c r="W39" s="4"/>
      <c r="Y39" s="22">
        <f t="shared" si="0"/>
        <v>0</v>
      </c>
      <c r="Z39" s="22">
        <f t="shared" si="1"/>
        <v>0</v>
      </c>
      <c r="AA39" s="23">
        <f t="shared" si="3"/>
        <v>0</v>
      </c>
      <c r="AB39" s="23">
        <f t="shared" si="2"/>
        <v>0</v>
      </c>
      <c r="AC39" s="30">
        <f t="shared" si="4"/>
        <v>0</v>
      </c>
      <c r="AD39" s="30">
        <f t="shared" si="5"/>
        <v>0</v>
      </c>
    </row>
    <row r="40" spans="1:30" s="28" customFormat="1" ht="15.75">
      <c r="A40" s="40" t="s">
        <v>5</v>
      </c>
      <c r="B40" s="32" t="s">
        <v>38</v>
      </c>
      <c r="C40" s="24">
        <v>8.05</v>
      </c>
      <c r="D40" s="51">
        <f t="shared" si="6"/>
        <v>8.05</v>
      </c>
      <c r="E40" s="25" t="s">
        <v>38</v>
      </c>
      <c r="F40" s="26">
        <v>1.86</v>
      </c>
      <c r="G40" s="27">
        <f t="shared" si="10"/>
        <v>1.86</v>
      </c>
      <c r="H40" s="25" t="s">
        <v>38</v>
      </c>
      <c r="I40" s="26">
        <v>2.49</v>
      </c>
      <c r="J40" s="27">
        <f t="shared" si="11"/>
        <v>2.49</v>
      </c>
      <c r="K40" s="25" t="s">
        <v>38</v>
      </c>
      <c r="L40" s="26">
        <v>2.3</v>
      </c>
      <c r="M40" s="27">
        <f t="shared" si="7"/>
        <v>2.3</v>
      </c>
      <c r="N40" s="25" t="s">
        <v>38</v>
      </c>
      <c r="O40" s="26">
        <v>14.2</v>
      </c>
      <c r="P40" s="27">
        <f t="shared" si="8"/>
        <v>14.2</v>
      </c>
      <c r="Q40" s="25" t="s">
        <v>38</v>
      </c>
      <c r="R40" s="62">
        <v>14.2</v>
      </c>
      <c r="S40" s="80">
        <f t="shared" si="9"/>
        <v>14.2</v>
      </c>
      <c r="V40" s="30"/>
      <c r="W40" s="4"/>
      <c r="Y40" s="22">
        <f t="shared" si="0"/>
        <v>0</v>
      </c>
      <c r="Z40" s="22">
        <f t="shared" si="1"/>
        <v>0</v>
      </c>
      <c r="AA40" s="23">
        <f t="shared" si="3"/>
        <v>0</v>
      </c>
      <c r="AB40" s="23">
        <f t="shared" si="2"/>
        <v>0</v>
      </c>
      <c r="AC40" s="30">
        <f t="shared" si="4"/>
        <v>0</v>
      </c>
      <c r="AD40" s="30">
        <f t="shared" si="5"/>
        <v>0</v>
      </c>
    </row>
    <row r="41" spans="1:30" s="28" customFormat="1" ht="15.75">
      <c r="A41" s="40" t="s">
        <v>11</v>
      </c>
      <c r="B41" s="32" t="s">
        <v>38</v>
      </c>
      <c r="C41" s="24">
        <v>5.46</v>
      </c>
      <c r="D41" s="51">
        <f t="shared" si="6"/>
        <v>5.46</v>
      </c>
      <c r="E41" s="25" t="s">
        <v>38</v>
      </c>
      <c r="F41" s="26">
        <v>1.7</v>
      </c>
      <c r="G41" s="27">
        <f t="shared" si="10"/>
        <v>1.7</v>
      </c>
      <c r="H41" s="25" t="s">
        <v>38</v>
      </c>
      <c r="I41" s="26">
        <v>3.18</v>
      </c>
      <c r="J41" s="27">
        <f t="shared" si="11"/>
        <v>3.18</v>
      </c>
      <c r="K41" s="25" t="s">
        <v>38</v>
      </c>
      <c r="L41" s="26">
        <v>6.08</v>
      </c>
      <c r="M41" s="27">
        <f t="shared" si="7"/>
        <v>6.08</v>
      </c>
      <c r="N41" s="25" t="s">
        <v>38</v>
      </c>
      <c r="O41" s="26">
        <v>6.4</v>
      </c>
      <c r="P41" s="27">
        <f t="shared" si="8"/>
        <v>6.4</v>
      </c>
      <c r="Q41" s="25" t="s">
        <v>38</v>
      </c>
      <c r="R41" s="26">
        <v>3.97</v>
      </c>
      <c r="S41" s="27">
        <f t="shared" si="9"/>
        <v>3.97</v>
      </c>
      <c r="V41" s="30"/>
      <c r="W41" s="4"/>
      <c r="Y41" s="22">
        <f t="shared" si="0"/>
        <v>0</v>
      </c>
      <c r="Z41" s="22">
        <f t="shared" si="1"/>
        <v>0</v>
      </c>
      <c r="AA41" s="23">
        <f t="shared" si="3"/>
        <v>0</v>
      </c>
      <c r="AB41" s="34">
        <f t="shared" si="2"/>
        <v>0</v>
      </c>
      <c r="AC41" s="30">
        <f t="shared" si="4"/>
        <v>0</v>
      </c>
      <c r="AD41" s="30">
        <f t="shared" si="5"/>
        <v>0</v>
      </c>
    </row>
    <row r="42" spans="1:30" s="28" customFormat="1" ht="15.75">
      <c r="A42" s="40" t="s">
        <v>27</v>
      </c>
      <c r="B42" s="32" t="s">
        <v>38</v>
      </c>
      <c r="C42" s="24">
        <v>0.95</v>
      </c>
      <c r="D42" s="51">
        <f>C42/1</f>
        <v>0.95</v>
      </c>
      <c r="E42" s="25" t="s">
        <v>38</v>
      </c>
      <c r="F42" s="26">
        <v>1.03</v>
      </c>
      <c r="G42" s="27">
        <f>F42/1</f>
        <v>1.03</v>
      </c>
      <c r="H42" s="25" t="s">
        <v>38</v>
      </c>
      <c r="I42" s="26">
        <v>1.27</v>
      </c>
      <c r="J42" s="27">
        <f t="shared" si="11"/>
        <v>1.27</v>
      </c>
      <c r="K42" s="25" t="s">
        <v>38</v>
      </c>
      <c r="L42" s="26">
        <v>1.65</v>
      </c>
      <c r="M42" s="27">
        <f t="shared" si="7"/>
        <v>1.65</v>
      </c>
      <c r="N42" s="25" t="s">
        <v>38</v>
      </c>
      <c r="O42" s="26">
        <v>1.7</v>
      </c>
      <c r="P42" s="27">
        <f t="shared" si="8"/>
        <v>1.7</v>
      </c>
      <c r="Q42" s="25" t="s">
        <v>38</v>
      </c>
      <c r="R42" s="26">
        <v>1.19</v>
      </c>
      <c r="S42" s="27">
        <f t="shared" si="9"/>
        <v>1.19</v>
      </c>
      <c r="V42" s="30"/>
      <c r="W42" s="4"/>
      <c r="Y42" s="22">
        <f t="shared" si="0"/>
        <v>0</v>
      </c>
      <c r="Z42" s="22">
        <f t="shared" si="1"/>
        <v>0</v>
      </c>
      <c r="AA42" s="23">
        <f t="shared" si="3"/>
        <v>0</v>
      </c>
      <c r="AB42" s="23">
        <f t="shared" si="2"/>
        <v>0</v>
      </c>
      <c r="AC42" s="30">
        <f t="shared" si="4"/>
        <v>0</v>
      </c>
      <c r="AD42" s="30">
        <f t="shared" si="5"/>
        <v>0</v>
      </c>
    </row>
    <row r="43" spans="1:30" s="28" customFormat="1" ht="15.75">
      <c r="A43" s="40" t="s">
        <v>18</v>
      </c>
      <c r="B43" s="32" t="s">
        <v>38</v>
      </c>
      <c r="C43" s="24">
        <v>2.59</v>
      </c>
      <c r="D43" s="51">
        <f>C43/1</f>
        <v>2.59</v>
      </c>
      <c r="E43" s="25" t="s">
        <v>38</v>
      </c>
      <c r="F43" s="26">
        <v>2.38</v>
      </c>
      <c r="G43" s="27">
        <f>F43/1</f>
        <v>2.38</v>
      </c>
      <c r="H43" s="25" t="s">
        <v>117</v>
      </c>
      <c r="I43" s="26">
        <v>2.47</v>
      </c>
      <c r="J43" s="27">
        <f t="shared" si="11"/>
        <v>2.47</v>
      </c>
      <c r="K43" s="25" t="s">
        <v>38</v>
      </c>
      <c r="L43" s="26">
        <v>3.4</v>
      </c>
      <c r="M43" s="27">
        <f t="shared" si="7"/>
        <v>3.4</v>
      </c>
      <c r="N43" s="25" t="s">
        <v>38</v>
      </c>
      <c r="O43" s="26">
        <v>3.03</v>
      </c>
      <c r="P43" s="27">
        <f t="shared" si="8"/>
        <v>3.03</v>
      </c>
      <c r="Q43" s="25" t="s">
        <v>38</v>
      </c>
      <c r="R43" s="26">
        <v>2.46</v>
      </c>
      <c r="S43" s="27">
        <f t="shared" si="9"/>
        <v>2.46</v>
      </c>
      <c r="V43" s="30"/>
      <c r="W43" s="4"/>
      <c r="Y43" s="22">
        <f t="shared" si="0"/>
        <v>0</v>
      </c>
      <c r="Z43" s="22">
        <f t="shared" si="1"/>
        <v>0</v>
      </c>
      <c r="AA43" s="23">
        <f t="shared" si="3"/>
        <v>0</v>
      </c>
      <c r="AB43" s="23">
        <f t="shared" si="2"/>
        <v>0</v>
      </c>
      <c r="AC43" s="30">
        <f t="shared" si="4"/>
        <v>0</v>
      </c>
      <c r="AD43" s="30">
        <f t="shared" si="5"/>
        <v>0</v>
      </c>
    </row>
    <row r="44" spans="1:30" s="28" customFormat="1" ht="15.75">
      <c r="A44" s="40" t="s">
        <v>19</v>
      </c>
      <c r="B44" s="32" t="s">
        <v>38</v>
      </c>
      <c r="C44" s="24">
        <v>2.39</v>
      </c>
      <c r="D44" s="51">
        <f>C44/1</f>
        <v>2.39</v>
      </c>
      <c r="E44" s="25" t="s">
        <v>38</v>
      </c>
      <c r="F44" s="26">
        <v>1.84</v>
      </c>
      <c r="G44" s="27">
        <f>F44/1</f>
        <v>1.84</v>
      </c>
      <c r="H44" s="25" t="s">
        <v>118</v>
      </c>
      <c r="I44" s="26">
        <v>1.78</v>
      </c>
      <c r="J44" s="27">
        <f t="shared" si="11"/>
        <v>1.78</v>
      </c>
      <c r="K44" s="25" t="s">
        <v>38</v>
      </c>
      <c r="L44" s="26">
        <v>1.7</v>
      </c>
      <c r="M44" s="27">
        <f t="shared" si="7"/>
        <v>1.7</v>
      </c>
      <c r="N44" s="25" t="s">
        <v>38</v>
      </c>
      <c r="O44" s="26">
        <v>1.95</v>
      </c>
      <c r="P44" s="27">
        <f t="shared" si="8"/>
        <v>1.95</v>
      </c>
      <c r="Q44" s="25" t="s">
        <v>38</v>
      </c>
      <c r="R44" s="26">
        <v>2</v>
      </c>
      <c r="S44" s="27">
        <f t="shared" si="9"/>
        <v>2</v>
      </c>
      <c r="V44" s="30"/>
      <c r="W44" s="4"/>
      <c r="Y44" s="22">
        <f t="shared" si="0"/>
        <v>0</v>
      </c>
      <c r="Z44" s="22">
        <f t="shared" si="1"/>
        <v>0</v>
      </c>
      <c r="AA44" s="23">
        <f t="shared" si="3"/>
        <v>0</v>
      </c>
      <c r="AB44" s="23">
        <f t="shared" si="2"/>
        <v>0</v>
      </c>
      <c r="AC44" s="30">
        <f t="shared" si="4"/>
        <v>0</v>
      </c>
      <c r="AD44" s="30">
        <f t="shared" si="5"/>
        <v>0</v>
      </c>
    </row>
    <row r="45" spans="1:30" s="28" customFormat="1" ht="15.75">
      <c r="A45" s="40" t="s">
        <v>67</v>
      </c>
      <c r="B45" s="32" t="s">
        <v>38</v>
      </c>
      <c r="C45" s="24">
        <v>2.59</v>
      </c>
      <c r="D45" s="51">
        <f>C45/1</f>
        <v>2.59</v>
      </c>
      <c r="E45" s="25" t="s">
        <v>38</v>
      </c>
      <c r="F45" s="26">
        <v>2.69</v>
      </c>
      <c r="G45" s="27">
        <f aca="true" t="shared" si="12" ref="G45:G52">F45/1</f>
        <v>2.69</v>
      </c>
      <c r="H45" s="25" t="s">
        <v>117</v>
      </c>
      <c r="I45" s="26">
        <v>2.37</v>
      </c>
      <c r="J45" s="27">
        <f t="shared" si="11"/>
        <v>2.37</v>
      </c>
      <c r="K45" s="25" t="s">
        <v>38</v>
      </c>
      <c r="L45" s="26">
        <v>3.4</v>
      </c>
      <c r="M45" s="27">
        <f t="shared" si="7"/>
        <v>3.4</v>
      </c>
      <c r="N45" s="25" t="s">
        <v>38</v>
      </c>
      <c r="O45" s="26">
        <v>3.25</v>
      </c>
      <c r="P45" s="27">
        <f t="shared" si="8"/>
        <v>3.25</v>
      </c>
      <c r="Q45" s="25" t="s">
        <v>38</v>
      </c>
      <c r="R45" s="26">
        <v>2.4</v>
      </c>
      <c r="S45" s="27">
        <f t="shared" si="9"/>
        <v>2.4</v>
      </c>
      <c r="V45" s="30"/>
      <c r="W45" s="4"/>
      <c r="Y45" s="22">
        <f t="shared" si="0"/>
        <v>0</v>
      </c>
      <c r="Z45" s="22">
        <f t="shared" si="1"/>
        <v>0</v>
      </c>
      <c r="AA45" s="23">
        <f t="shared" si="3"/>
        <v>0</v>
      </c>
      <c r="AB45" s="81">
        <f t="shared" si="2"/>
        <v>0</v>
      </c>
      <c r="AC45" s="30">
        <f t="shared" si="4"/>
        <v>0</v>
      </c>
      <c r="AD45" s="30">
        <f t="shared" si="5"/>
        <v>0</v>
      </c>
    </row>
    <row r="46" spans="1:30" s="28" customFormat="1" ht="15.75">
      <c r="A46" s="40" t="s">
        <v>20</v>
      </c>
      <c r="B46" s="32" t="s">
        <v>38</v>
      </c>
      <c r="C46" s="24">
        <v>32.45</v>
      </c>
      <c r="D46" s="51">
        <f>C46/1</f>
        <v>32.45</v>
      </c>
      <c r="E46" s="25" t="s">
        <v>38</v>
      </c>
      <c r="F46" s="26">
        <v>31.31</v>
      </c>
      <c r="G46" s="27">
        <f t="shared" si="12"/>
        <v>31.31</v>
      </c>
      <c r="H46" s="25" t="s">
        <v>38</v>
      </c>
      <c r="I46" s="26">
        <v>34.5</v>
      </c>
      <c r="J46" s="27">
        <f t="shared" si="11"/>
        <v>34.5</v>
      </c>
      <c r="K46" s="25" t="s">
        <v>38</v>
      </c>
      <c r="L46" s="26">
        <v>39.9</v>
      </c>
      <c r="M46" s="27">
        <f t="shared" si="7"/>
        <v>39.9</v>
      </c>
      <c r="N46" s="25" t="s">
        <v>38</v>
      </c>
      <c r="O46" s="26">
        <v>40.55</v>
      </c>
      <c r="P46" s="27">
        <f t="shared" si="8"/>
        <v>40.55</v>
      </c>
      <c r="Q46" s="25" t="s">
        <v>38</v>
      </c>
      <c r="R46" s="26">
        <v>29.54</v>
      </c>
      <c r="S46" s="27">
        <f t="shared" si="9"/>
        <v>29.54</v>
      </c>
      <c r="V46" s="4"/>
      <c r="W46" s="4"/>
      <c r="Y46" s="22">
        <f t="shared" si="0"/>
        <v>0</v>
      </c>
      <c r="Z46" s="22">
        <f t="shared" si="1"/>
        <v>0</v>
      </c>
      <c r="AA46" s="23">
        <f t="shared" si="3"/>
        <v>0</v>
      </c>
      <c r="AB46" s="23">
        <f t="shared" si="2"/>
        <v>0</v>
      </c>
      <c r="AC46" s="30">
        <f t="shared" si="4"/>
        <v>0</v>
      </c>
      <c r="AD46" s="30">
        <f t="shared" si="5"/>
        <v>0</v>
      </c>
    </row>
    <row r="47" spans="1:30" s="28" customFormat="1" ht="38.25">
      <c r="A47" s="40" t="s">
        <v>21</v>
      </c>
      <c r="B47" s="14" t="s">
        <v>95</v>
      </c>
      <c r="C47" s="24">
        <v>16.72</v>
      </c>
      <c r="D47" s="51">
        <f>C47/16</f>
        <v>1.045</v>
      </c>
      <c r="E47" s="14" t="s">
        <v>101</v>
      </c>
      <c r="F47" s="26">
        <v>2.5</v>
      </c>
      <c r="G47" s="27">
        <f>F47/4</f>
        <v>0.625</v>
      </c>
      <c r="H47" s="14" t="s">
        <v>101</v>
      </c>
      <c r="I47" s="26">
        <v>2.36</v>
      </c>
      <c r="J47" s="27">
        <f>I47/4</f>
        <v>0.59</v>
      </c>
      <c r="K47" s="14" t="s">
        <v>123</v>
      </c>
      <c r="L47" s="26">
        <v>2.9</v>
      </c>
      <c r="M47" s="27">
        <f>L47/3</f>
        <v>0.9666666666666667</v>
      </c>
      <c r="N47" s="14" t="s">
        <v>103</v>
      </c>
      <c r="O47" s="26">
        <v>10.63</v>
      </c>
      <c r="P47" s="27">
        <f>O47/5</f>
        <v>2.1260000000000003</v>
      </c>
      <c r="Q47" s="14" t="s">
        <v>123</v>
      </c>
      <c r="R47" s="26">
        <v>3.56</v>
      </c>
      <c r="S47" s="27">
        <f>R47/3</f>
        <v>1.1866666666666668</v>
      </c>
      <c r="V47" s="30"/>
      <c r="W47" s="4"/>
      <c r="Y47" s="22">
        <f t="shared" si="0"/>
        <v>0</v>
      </c>
      <c r="Z47" s="22">
        <f t="shared" si="1"/>
        <v>0</v>
      </c>
      <c r="AA47" s="23">
        <f t="shared" si="3"/>
        <v>0</v>
      </c>
      <c r="AB47" s="23">
        <f t="shared" si="2"/>
        <v>0</v>
      </c>
      <c r="AC47" s="30">
        <f t="shared" si="4"/>
        <v>0</v>
      </c>
      <c r="AD47" s="30">
        <f t="shared" si="5"/>
        <v>0</v>
      </c>
    </row>
    <row r="48" spans="1:30" s="28" customFormat="1" ht="15.75">
      <c r="A48" s="40" t="s">
        <v>22</v>
      </c>
      <c r="B48" s="32" t="s">
        <v>38</v>
      </c>
      <c r="C48" s="24">
        <v>1.33</v>
      </c>
      <c r="D48" s="51">
        <f>C48/1</f>
        <v>1.33</v>
      </c>
      <c r="E48" s="25" t="s">
        <v>38</v>
      </c>
      <c r="F48" s="26">
        <v>1.07</v>
      </c>
      <c r="G48" s="27">
        <f t="shared" si="12"/>
        <v>1.07</v>
      </c>
      <c r="H48" s="25" t="s">
        <v>38</v>
      </c>
      <c r="I48" s="26">
        <v>1.4</v>
      </c>
      <c r="J48" s="27">
        <f t="shared" si="11"/>
        <v>1.4</v>
      </c>
      <c r="K48" s="25" t="s">
        <v>38</v>
      </c>
      <c r="L48" s="26">
        <v>1.9</v>
      </c>
      <c r="M48" s="27">
        <f t="shared" si="7"/>
        <v>1.9</v>
      </c>
      <c r="N48" s="25" t="s">
        <v>38</v>
      </c>
      <c r="O48" s="26">
        <v>4.94</v>
      </c>
      <c r="P48" s="27">
        <f t="shared" si="8"/>
        <v>4.94</v>
      </c>
      <c r="Q48" s="25" t="s">
        <v>38</v>
      </c>
      <c r="R48" s="26">
        <v>1.18</v>
      </c>
      <c r="S48" s="27">
        <f t="shared" si="9"/>
        <v>1.18</v>
      </c>
      <c r="V48" s="30"/>
      <c r="W48" s="4"/>
      <c r="Y48" s="22">
        <f t="shared" si="0"/>
        <v>0</v>
      </c>
      <c r="Z48" s="22">
        <f t="shared" si="1"/>
        <v>0</v>
      </c>
      <c r="AA48" s="23">
        <f t="shared" si="3"/>
        <v>0</v>
      </c>
      <c r="AB48" s="23">
        <f t="shared" si="2"/>
        <v>0</v>
      </c>
      <c r="AC48" s="30">
        <f t="shared" si="4"/>
        <v>0</v>
      </c>
      <c r="AD48" s="30">
        <f t="shared" si="5"/>
        <v>0</v>
      </c>
    </row>
    <row r="49" spans="1:30" s="28" customFormat="1" ht="15.75">
      <c r="A49" s="40" t="s">
        <v>28</v>
      </c>
      <c r="B49" s="32" t="s">
        <v>33</v>
      </c>
      <c r="C49" s="24">
        <v>19.5</v>
      </c>
      <c r="D49" s="51">
        <f>C49/1</f>
        <v>19.5</v>
      </c>
      <c r="E49" s="32" t="s">
        <v>33</v>
      </c>
      <c r="F49" s="26">
        <v>41.53</v>
      </c>
      <c r="G49" s="27">
        <f t="shared" si="12"/>
        <v>41.53</v>
      </c>
      <c r="H49" s="32" t="s">
        <v>33</v>
      </c>
      <c r="I49" s="26">
        <v>18.5</v>
      </c>
      <c r="J49" s="27">
        <f t="shared" si="11"/>
        <v>18.5</v>
      </c>
      <c r="K49" s="32" t="s">
        <v>33</v>
      </c>
      <c r="L49" s="26">
        <v>22.8</v>
      </c>
      <c r="M49" s="27">
        <f t="shared" si="7"/>
        <v>22.8</v>
      </c>
      <c r="N49" s="32" t="s">
        <v>33</v>
      </c>
      <c r="O49" s="62">
        <v>41.53</v>
      </c>
      <c r="P49" s="80">
        <f t="shared" si="8"/>
        <v>41.53</v>
      </c>
      <c r="Q49" s="32" t="s">
        <v>33</v>
      </c>
      <c r="R49" s="62">
        <v>41.53</v>
      </c>
      <c r="S49" s="80">
        <f t="shared" si="9"/>
        <v>41.53</v>
      </c>
      <c r="V49" s="30"/>
      <c r="W49" s="4"/>
      <c r="Y49" s="22">
        <f t="shared" si="0"/>
        <v>0</v>
      </c>
      <c r="Z49" s="22">
        <f t="shared" si="1"/>
        <v>0</v>
      </c>
      <c r="AA49" s="23">
        <f t="shared" si="3"/>
        <v>0</v>
      </c>
      <c r="AB49" s="23">
        <f t="shared" si="2"/>
        <v>0</v>
      </c>
      <c r="AC49" s="30">
        <f t="shared" si="4"/>
        <v>0</v>
      </c>
      <c r="AD49" s="30">
        <f t="shared" si="5"/>
        <v>0</v>
      </c>
    </row>
    <row r="50" spans="1:30" ht="25.5">
      <c r="A50" s="40" t="s">
        <v>68</v>
      </c>
      <c r="B50" s="32" t="s">
        <v>96</v>
      </c>
      <c r="C50" s="30">
        <v>0.89</v>
      </c>
      <c r="D50" s="51">
        <f>C50/1</f>
        <v>0.89</v>
      </c>
      <c r="E50" s="25" t="s">
        <v>38</v>
      </c>
      <c r="F50" s="30">
        <v>0.94</v>
      </c>
      <c r="G50" s="27">
        <f t="shared" si="12"/>
        <v>0.94</v>
      </c>
      <c r="H50" s="32" t="s">
        <v>119</v>
      </c>
      <c r="I50" s="30">
        <v>18.6</v>
      </c>
      <c r="J50" s="55">
        <f>I50/12</f>
        <v>1.55</v>
      </c>
      <c r="K50" s="25" t="s">
        <v>38</v>
      </c>
      <c r="L50" s="30">
        <v>1.65</v>
      </c>
      <c r="M50" s="16">
        <f t="shared" si="7"/>
        <v>1.65</v>
      </c>
      <c r="N50" s="32" t="s">
        <v>33</v>
      </c>
      <c r="O50" s="30">
        <v>2.46</v>
      </c>
      <c r="P50" s="55">
        <f t="shared" si="8"/>
        <v>2.46</v>
      </c>
      <c r="Q50" s="25" t="s">
        <v>34</v>
      </c>
      <c r="R50" s="30">
        <v>3.03</v>
      </c>
      <c r="S50" s="55">
        <f>R50/100</f>
        <v>0.030299999999999997</v>
      </c>
      <c r="V50" s="35"/>
      <c r="W50" s="35"/>
      <c r="Y50" s="35"/>
      <c r="Z50" s="35"/>
      <c r="AA50" s="23">
        <f t="shared" si="3"/>
        <v>0</v>
      </c>
      <c r="AB50" s="35"/>
      <c r="AC50" s="30">
        <f t="shared" si="4"/>
        <v>0</v>
      </c>
      <c r="AD50" s="35">
        <f t="shared" si="5"/>
        <v>0</v>
      </c>
    </row>
    <row r="51" spans="1:30" ht="25.5">
      <c r="A51" s="40" t="s">
        <v>69</v>
      </c>
      <c r="B51" s="32" t="s">
        <v>98</v>
      </c>
      <c r="C51" s="5">
        <v>3.5</v>
      </c>
      <c r="D51" s="51">
        <f>C51/100</f>
        <v>0.035</v>
      </c>
      <c r="E51" s="25" t="s">
        <v>38</v>
      </c>
      <c r="F51" s="30">
        <v>3.49</v>
      </c>
      <c r="G51" s="52">
        <f>F51/100</f>
        <v>0.0349</v>
      </c>
      <c r="H51" s="25" t="s">
        <v>34</v>
      </c>
      <c r="I51" s="30">
        <v>3.5</v>
      </c>
      <c r="J51" s="55">
        <f>I51/100</f>
        <v>0.035</v>
      </c>
      <c r="K51" s="25" t="s">
        <v>38</v>
      </c>
      <c r="L51" s="30">
        <v>1.39</v>
      </c>
      <c r="M51" s="16">
        <f t="shared" si="7"/>
        <v>1.39</v>
      </c>
      <c r="N51" s="25" t="s">
        <v>34</v>
      </c>
      <c r="O51" s="30">
        <v>6.2</v>
      </c>
      <c r="P51" s="55">
        <f>O51/100</f>
        <v>0.062</v>
      </c>
      <c r="Q51" s="25" t="s">
        <v>34</v>
      </c>
      <c r="R51" s="30">
        <v>3.03</v>
      </c>
      <c r="S51" s="55">
        <f>R51/100</f>
        <v>0.030299999999999997</v>
      </c>
      <c r="V51" s="35"/>
      <c r="W51" s="35"/>
      <c r="Y51" s="35"/>
      <c r="Z51" s="35"/>
      <c r="AA51" s="23">
        <f t="shared" si="3"/>
        <v>0</v>
      </c>
      <c r="AB51" s="35"/>
      <c r="AC51" s="30">
        <f t="shared" si="4"/>
        <v>0</v>
      </c>
      <c r="AD51" s="35">
        <f t="shared" si="5"/>
        <v>0</v>
      </c>
    </row>
    <row r="52" spans="1:30" ht="26.25" thickBot="1">
      <c r="A52" s="42" t="s">
        <v>70</v>
      </c>
      <c r="B52" s="38" t="s">
        <v>97</v>
      </c>
      <c r="C52" s="39">
        <v>0.45</v>
      </c>
      <c r="D52" s="44">
        <f>C52/1</f>
        <v>0.45</v>
      </c>
      <c r="E52" s="38" t="s">
        <v>33</v>
      </c>
      <c r="F52" s="39">
        <v>2.37</v>
      </c>
      <c r="G52" s="21">
        <f t="shared" si="12"/>
        <v>2.37</v>
      </c>
      <c r="H52" s="38" t="s">
        <v>119</v>
      </c>
      <c r="I52" s="39">
        <v>20.88</v>
      </c>
      <c r="J52" s="56">
        <f>I52/12</f>
        <v>1.74</v>
      </c>
      <c r="K52" s="38" t="s">
        <v>33</v>
      </c>
      <c r="L52" s="39">
        <v>1.65</v>
      </c>
      <c r="M52" s="21">
        <f t="shared" si="7"/>
        <v>1.65</v>
      </c>
      <c r="N52" s="60" t="s">
        <v>34</v>
      </c>
      <c r="O52" s="39">
        <v>5.2</v>
      </c>
      <c r="P52" s="56">
        <f>O52/100</f>
        <v>0.052000000000000005</v>
      </c>
      <c r="Q52" s="60" t="s">
        <v>34</v>
      </c>
      <c r="R52" s="39">
        <v>3.03</v>
      </c>
      <c r="S52" s="56">
        <f>R52/100</f>
        <v>0.030299999999999997</v>
      </c>
      <c r="V52" s="35"/>
      <c r="W52" s="35"/>
      <c r="Y52" s="35"/>
      <c r="Z52" s="35"/>
      <c r="AA52" s="23">
        <f t="shared" si="3"/>
        <v>0</v>
      </c>
      <c r="AB52" s="35"/>
      <c r="AC52" s="30">
        <f t="shared" si="4"/>
        <v>0</v>
      </c>
      <c r="AD52" s="35">
        <f t="shared" si="5"/>
        <v>0</v>
      </c>
    </row>
    <row r="53" spans="4:30" ht="12.75">
      <c r="D53" s="79">
        <f>SUM(D6:D52)</f>
        <v>119.18761666666667</v>
      </c>
      <c r="G53" s="79">
        <f>SUM(G6:G52)</f>
        <v>128.98829999999998</v>
      </c>
      <c r="J53" s="79">
        <f>SUM(J6:J52)</f>
        <v>111.114</v>
      </c>
      <c r="M53" s="79">
        <f>SUM(M6:M52)</f>
        <v>131.23066666666665</v>
      </c>
      <c r="P53" s="79">
        <f>SUM(P6:P52)</f>
        <v>197.438701754386</v>
      </c>
      <c r="S53" s="79">
        <f>SUM(S6:S52)</f>
        <v>144.67130000000003</v>
      </c>
      <c r="Y53" s="85">
        <f aca="true" t="shared" si="13" ref="Y53:AD53">SUM(Y6:Y52)</f>
        <v>857.335</v>
      </c>
      <c r="Z53" s="85">
        <f t="shared" si="13"/>
        <v>894.0000000000001</v>
      </c>
      <c r="AA53" s="85">
        <f t="shared" si="13"/>
        <v>838.0500000000001</v>
      </c>
      <c r="AB53" s="85">
        <f t="shared" si="13"/>
        <v>1069.83</v>
      </c>
      <c r="AC53" s="85">
        <f t="shared" si="13"/>
        <v>1483.3784210526314</v>
      </c>
      <c r="AD53" s="85">
        <f t="shared" si="13"/>
        <v>1020.65</v>
      </c>
    </row>
    <row r="54" spans="24:30" ht="12.75">
      <c r="X54" s="35" t="s">
        <v>141</v>
      </c>
      <c r="Y54" s="86">
        <f aca="true" t="shared" si="14" ref="Y54:AD54">Y53*22%</f>
        <v>188.61370000000002</v>
      </c>
      <c r="Z54" s="86">
        <f t="shared" si="14"/>
        <v>196.68000000000004</v>
      </c>
      <c r="AA54" s="86">
        <f t="shared" si="14"/>
        <v>184.371</v>
      </c>
      <c r="AB54" s="86">
        <f t="shared" si="14"/>
        <v>235.3626</v>
      </c>
      <c r="AC54" s="86">
        <f t="shared" si="14"/>
        <v>326.34325263157893</v>
      </c>
      <c r="AD54" s="86">
        <f t="shared" si="14"/>
        <v>224.543</v>
      </c>
    </row>
    <row r="55" spans="24:30" ht="12.75">
      <c r="X55" s="35" t="s">
        <v>140</v>
      </c>
      <c r="Y55" s="86">
        <f aca="true" t="shared" si="15" ref="Y55:AD55">Y53+Y54</f>
        <v>1045.9487000000001</v>
      </c>
      <c r="Z55" s="86">
        <f t="shared" si="15"/>
        <v>1090.68</v>
      </c>
      <c r="AA55" s="86">
        <f t="shared" si="15"/>
        <v>1022.421</v>
      </c>
      <c r="AB55" s="86">
        <f t="shared" si="15"/>
        <v>1305.1925999999999</v>
      </c>
      <c r="AC55" s="86">
        <f t="shared" si="15"/>
        <v>1809.7216736842104</v>
      </c>
      <c r="AD55" s="86">
        <f t="shared" si="15"/>
        <v>1245.193</v>
      </c>
    </row>
    <row r="57" spans="17:19" ht="12.75">
      <c r="Q57" s="36"/>
      <c r="R57" s="36"/>
      <c r="S57" s="43"/>
    </row>
    <row r="58" spans="17:19" ht="12.75">
      <c r="Q58" s="36"/>
      <c r="R58" s="36"/>
      <c r="S58" s="43"/>
    </row>
    <row r="59" spans="17:19" ht="12.75">
      <c r="Q59" s="36"/>
      <c r="R59" s="36"/>
      <c r="S59" s="43"/>
    </row>
    <row r="60" spans="17:19" ht="12.75">
      <c r="Q60" s="36"/>
      <c r="R60" s="36"/>
      <c r="S60" s="43"/>
    </row>
    <row r="61" spans="17:19" ht="12.75">
      <c r="Q61" s="36"/>
      <c r="R61" s="36"/>
      <c r="S61" s="43"/>
    </row>
    <row r="62" spans="17:19" ht="12.75">
      <c r="Q62" s="36"/>
      <c r="R62" s="36"/>
      <c r="S62" s="36"/>
    </row>
  </sheetData>
  <sheetProtection/>
  <mergeCells count="15">
    <mergeCell ref="A2:S2"/>
    <mergeCell ref="A4:A5"/>
    <mergeCell ref="B4:D4"/>
    <mergeCell ref="E4:G4"/>
    <mergeCell ref="H4:J4"/>
    <mergeCell ref="K4:M4"/>
    <mergeCell ref="N4:P4"/>
    <mergeCell ref="Q4:S4"/>
    <mergeCell ref="AD4:AD5"/>
    <mergeCell ref="V4:W5"/>
    <mergeCell ref="Y4:Y5"/>
    <mergeCell ref="Z4:Z5"/>
    <mergeCell ref="AA4:AA5"/>
    <mergeCell ref="AB4:AB5"/>
    <mergeCell ref="AC4:AC5"/>
  </mergeCells>
  <printOptions horizontalCentered="1" verticalCentered="1"/>
  <pageMargins left="0.1968503937007874" right="0.1968503937007874" top="0.3937007874015748" bottom="0.7874015748031497" header="0.2362204724409449" footer="0.15748031496062992"/>
  <pageSetup fitToHeight="2" fitToWidth="2" horizontalDpi="600" verticalDpi="600" orientation="landscape" paperSize="8" scale="50" r:id="rId1"/>
  <colBreaks count="1" manualBreakCount="1">
    <brk id="19" max="5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2:AD77"/>
  <sheetViews>
    <sheetView view="pageBreakPreview" zoomScale="75" zoomScaleNormal="90" zoomScaleSheetLayoutView="75" zoomScalePageLayoutView="0" workbookViewId="0" topLeftCell="A1">
      <pane xSplit="10" ySplit="2" topLeftCell="V39" activePane="bottomRight" state="frozen"/>
      <selection pane="topLeft" activeCell="A1" sqref="A1"/>
      <selection pane="topRight" activeCell="K1" sqref="K1"/>
      <selection pane="bottomLeft" activeCell="A3" sqref="A3"/>
      <selection pane="bottomRight" activeCell="V15" sqref="V15"/>
    </sheetView>
  </sheetViews>
  <sheetFormatPr defaultColWidth="9.140625" defaultRowHeight="12.75"/>
  <cols>
    <col min="1" max="1" width="69.421875" style="0" customWidth="1"/>
    <col min="2" max="2" width="16.28125" style="0" customWidth="1"/>
    <col min="3" max="3" width="13.140625" style="0" customWidth="1"/>
    <col min="4" max="4" width="12.28125" style="0" customWidth="1"/>
    <col min="5" max="5" width="24.57421875" style="0" customWidth="1"/>
    <col min="6" max="6" width="8.8515625" style="0" customWidth="1"/>
    <col min="7" max="7" width="10.00390625" style="0" customWidth="1"/>
    <col min="8" max="8" width="16.8515625" style="0" customWidth="1"/>
    <col min="9" max="9" width="11.28125" style="0" customWidth="1"/>
    <col min="10" max="10" width="10.57421875" style="0" customWidth="1"/>
    <col min="11" max="11" width="17.8515625" style="0" customWidth="1"/>
    <col min="12" max="12" width="10.57421875" style="0" customWidth="1"/>
    <col min="13" max="13" width="11.00390625" style="0" customWidth="1"/>
    <col min="14" max="14" width="17.8515625" style="0" customWidth="1"/>
    <col min="15" max="15" width="11.00390625" style="0" customWidth="1"/>
    <col min="16" max="16" width="10.421875" style="0" customWidth="1"/>
    <col min="17" max="17" width="17.57421875" style="0" customWidth="1"/>
    <col min="18" max="18" width="10.28125" style="0" customWidth="1"/>
    <col min="19" max="19" width="10.8515625" style="0" customWidth="1"/>
    <col min="20" max="20" width="13.8515625" style="0" customWidth="1"/>
    <col min="21" max="21" width="16.7109375" style="0" customWidth="1"/>
    <col min="22" max="22" width="16.28125" style="0" customWidth="1"/>
    <col min="25" max="25" width="11.421875" style="0" bestFit="1" customWidth="1"/>
    <col min="26" max="26" width="14.00390625" style="0" customWidth="1"/>
    <col min="27" max="27" width="11.421875" style="0" bestFit="1" customWidth="1"/>
    <col min="28" max="28" width="13.140625" style="0" bestFit="1" customWidth="1"/>
    <col min="29" max="29" width="11.00390625" style="0" bestFit="1" customWidth="1"/>
    <col min="30" max="30" width="11.00390625" style="0" customWidth="1"/>
  </cols>
  <sheetData>
    <row r="1" ht="13.5" thickBot="1"/>
    <row r="2" spans="1:19" ht="18.75" thickBot="1">
      <c r="A2" s="209" t="s">
        <v>99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1"/>
    </row>
    <row r="3" ht="13.5" thickBot="1"/>
    <row r="4" spans="1:30" ht="15.75" customHeight="1">
      <c r="A4" s="218" t="s">
        <v>0</v>
      </c>
      <c r="B4" s="220" t="s">
        <v>29</v>
      </c>
      <c r="C4" s="221"/>
      <c r="D4" s="222"/>
      <c r="E4" s="228" t="s">
        <v>39</v>
      </c>
      <c r="F4" s="229"/>
      <c r="G4" s="230"/>
      <c r="H4" s="231" t="s">
        <v>76</v>
      </c>
      <c r="I4" s="232"/>
      <c r="J4" s="233"/>
      <c r="K4" s="236" t="s">
        <v>44</v>
      </c>
      <c r="L4" s="237"/>
      <c r="M4" s="238"/>
      <c r="N4" s="239" t="s">
        <v>77</v>
      </c>
      <c r="O4" s="240"/>
      <c r="P4" s="241"/>
      <c r="Q4" s="223" t="s">
        <v>78</v>
      </c>
      <c r="R4" s="224"/>
      <c r="S4" s="225"/>
      <c r="T4" s="10"/>
      <c r="V4" s="216" t="s">
        <v>1</v>
      </c>
      <c r="W4" s="216"/>
      <c r="Y4" s="212" t="s">
        <v>57</v>
      </c>
      <c r="Z4" s="214" t="s">
        <v>135</v>
      </c>
      <c r="AA4" s="226" t="s">
        <v>134</v>
      </c>
      <c r="AB4" s="234" t="s">
        <v>56</v>
      </c>
      <c r="AC4" s="235" t="s">
        <v>139</v>
      </c>
      <c r="AD4" s="217" t="s">
        <v>138</v>
      </c>
    </row>
    <row r="5" spans="1:30" ht="18.75" customHeight="1">
      <c r="A5" s="219"/>
      <c r="B5" s="64" t="s">
        <v>2</v>
      </c>
      <c r="C5" s="65" t="s">
        <v>3</v>
      </c>
      <c r="D5" s="66" t="s">
        <v>4</v>
      </c>
      <c r="E5" s="67" t="s">
        <v>2</v>
      </c>
      <c r="F5" s="68" t="s">
        <v>3</v>
      </c>
      <c r="G5" s="69" t="s">
        <v>4</v>
      </c>
      <c r="H5" s="70" t="s">
        <v>2</v>
      </c>
      <c r="I5" s="71" t="s">
        <v>3</v>
      </c>
      <c r="J5" s="72" t="s">
        <v>4</v>
      </c>
      <c r="K5" s="73" t="s">
        <v>2</v>
      </c>
      <c r="L5" s="74" t="s">
        <v>3</v>
      </c>
      <c r="M5" s="75" t="s">
        <v>4</v>
      </c>
      <c r="N5" s="82" t="s">
        <v>2</v>
      </c>
      <c r="O5" s="83" t="s">
        <v>3</v>
      </c>
      <c r="P5" s="84" t="s">
        <v>4</v>
      </c>
      <c r="Q5" s="76" t="s">
        <v>2</v>
      </c>
      <c r="R5" s="77" t="s">
        <v>3</v>
      </c>
      <c r="S5" s="78" t="s">
        <v>4</v>
      </c>
      <c r="T5" s="11"/>
      <c r="V5" s="216"/>
      <c r="W5" s="216"/>
      <c r="Y5" s="213"/>
      <c r="Z5" s="215"/>
      <c r="AA5" s="226"/>
      <c r="AB5" s="234"/>
      <c r="AC5" s="235"/>
      <c r="AD5" s="217"/>
    </row>
    <row r="6" spans="1:30" s="28" customFormat="1" ht="23.25" customHeight="1">
      <c r="A6" s="40" t="s">
        <v>30</v>
      </c>
      <c r="B6" s="13" t="s">
        <v>105</v>
      </c>
      <c r="C6" s="1">
        <v>26.8</v>
      </c>
      <c r="D6" s="45">
        <f>C6/20</f>
        <v>1.34</v>
      </c>
      <c r="E6" s="14" t="s">
        <v>100</v>
      </c>
      <c r="F6" s="2">
        <v>1.38</v>
      </c>
      <c r="G6" s="12">
        <f>F6/1</f>
        <v>1.38</v>
      </c>
      <c r="H6" s="13" t="s">
        <v>108</v>
      </c>
      <c r="I6" s="1">
        <v>16.2</v>
      </c>
      <c r="J6" s="12">
        <f>I6/12</f>
        <v>1.3499999999999999</v>
      </c>
      <c r="K6" s="13" t="s">
        <v>45</v>
      </c>
      <c r="L6" s="1">
        <v>27</v>
      </c>
      <c r="M6" s="12">
        <f>L6/20</f>
        <v>1.35</v>
      </c>
      <c r="N6" s="15" t="s">
        <v>47</v>
      </c>
      <c r="O6" s="1">
        <v>18.24</v>
      </c>
      <c r="P6" s="12">
        <f>O6/9</f>
        <v>2.0266666666666664</v>
      </c>
      <c r="Q6" s="13" t="s">
        <v>45</v>
      </c>
      <c r="R6" s="1">
        <v>30</v>
      </c>
      <c r="S6" s="12">
        <f>R6/20</f>
        <v>1.5</v>
      </c>
      <c r="T6" s="9"/>
      <c r="V6" s="3" t="s">
        <v>143</v>
      </c>
      <c r="W6" s="4"/>
      <c r="Y6" s="88">
        <f aca="true" t="shared" si="0" ref="Y6:Y37">W6*D6</f>
        <v>0</v>
      </c>
      <c r="Z6" s="88">
        <f aca="true" t="shared" si="1" ref="Z6:Z37">W6*G6</f>
        <v>0</v>
      </c>
      <c r="AA6" s="89">
        <f aca="true" t="shared" si="2" ref="AA6:AA37">W6*J6</f>
        <v>0</v>
      </c>
      <c r="AB6" s="89">
        <f aca="true" t="shared" si="3" ref="AB6:AB37">W6*M6</f>
        <v>0</v>
      </c>
      <c r="AC6" s="5">
        <f aca="true" t="shared" si="4" ref="AC6:AC51">W6*P6</f>
        <v>0</v>
      </c>
      <c r="AD6" s="30">
        <f aca="true" t="shared" si="5" ref="AD6:AD51">W6*S6</f>
        <v>0</v>
      </c>
    </row>
    <row r="7" spans="1:30" s="28" customFormat="1" ht="25.5">
      <c r="A7" s="40" t="s">
        <v>31</v>
      </c>
      <c r="B7" s="14" t="s">
        <v>106</v>
      </c>
      <c r="C7" s="1">
        <v>5.6</v>
      </c>
      <c r="D7" s="46">
        <f>C7/16</f>
        <v>0.35</v>
      </c>
      <c r="E7" s="14" t="s">
        <v>100</v>
      </c>
      <c r="F7" s="5">
        <v>0.33</v>
      </c>
      <c r="G7" s="16">
        <f>F7/1</f>
        <v>0.33</v>
      </c>
      <c r="H7" s="14" t="s">
        <v>109</v>
      </c>
      <c r="I7" s="1">
        <v>4.56</v>
      </c>
      <c r="J7" s="12">
        <f>I7/12</f>
        <v>0.37999999999999995</v>
      </c>
      <c r="K7" s="13" t="s">
        <v>45</v>
      </c>
      <c r="L7" s="1">
        <v>7.6</v>
      </c>
      <c r="M7" s="12">
        <f>L7/20</f>
        <v>0.38</v>
      </c>
      <c r="N7" s="13" t="s">
        <v>124</v>
      </c>
      <c r="O7" s="1">
        <v>5.88</v>
      </c>
      <c r="P7" s="12">
        <f>O7/12</f>
        <v>0.49</v>
      </c>
      <c r="Q7" s="13" t="s">
        <v>124</v>
      </c>
      <c r="R7" s="1">
        <v>5.88</v>
      </c>
      <c r="S7" s="12">
        <f>R7/12</f>
        <v>0.49</v>
      </c>
      <c r="T7" s="9"/>
      <c r="V7" s="3" t="s">
        <v>144</v>
      </c>
      <c r="W7" s="4">
        <v>36</v>
      </c>
      <c r="Y7" s="88">
        <f t="shared" si="0"/>
        <v>12.6</v>
      </c>
      <c r="Z7" s="88">
        <f t="shared" si="1"/>
        <v>11.88</v>
      </c>
      <c r="AA7" s="89">
        <f t="shared" si="2"/>
        <v>13.679999999999998</v>
      </c>
      <c r="AB7" s="89">
        <f t="shared" si="3"/>
        <v>13.68</v>
      </c>
      <c r="AC7" s="30">
        <f t="shared" si="4"/>
        <v>17.64</v>
      </c>
      <c r="AD7" s="30">
        <f t="shared" si="5"/>
        <v>17.64</v>
      </c>
    </row>
    <row r="8" spans="1:30" s="28" customFormat="1" ht="25.5">
      <c r="A8" s="40" t="s">
        <v>32</v>
      </c>
      <c r="B8" s="14" t="s">
        <v>107</v>
      </c>
      <c r="C8" s="1">
        <v>5.36</v>
      </c>
      <c r="D8" s="46">
        <f>C8/16</f>
        <v>0.335</v>
      </c>
      <c r="E8" s="14" t="s">
        <v>101</v>
      </c>
      <c r="F8" s="8">
        <v>0.82</v>
      </c>
      <c r="G8" s="18">
        <f>F8/4</f>
        <v>0.205</v>
      </c>
      <c r="H8" s="14" t="s">
        <v>107</v>
      </c>
      <c r="I8" s="1">
        <v>5.12</v>
      </c>
      <c r="J8" s="12">
        <f>I8/16</f>
        <v>0.32</v>
      </c>
      <c r="K8" s="15" t="s">
        <v>46</v>
      </c>
      <c r="L8" s="1">
        <v>5.6</v>
      </c>
      <c r="M8" s="12">
        <f>L8/16</f>
        <v>0.35</v>
      </c>
      <c r="N8" s="15" t="s">
        <v>125</v>
      </c>
      <c r="O8" s="1">
        <v>5.8</v>
      </c>
      <c r="P8" s="12">
        <f>O8/16</f>
        <v>0.3625</v>
      </c>
      <c r="Q8" s="15" t="s">
        <v>46</v>
      </c>
      <c r="R8" s="1">
        <v>6.08</v>
      </c>
      <c r="S8" s="12">
        <f>R8/16</f>
        <v>0.38</v>
      </c>
      <c r="T8" s="9"/>
      <c r="V8" s="3" t="s">
        <v>173</v>
      </c>
      <c r="W8" s="4">
        <v>96</v>
      </c>
      <c r="Y8" s="88">
        <f t="shared" si="0"/>
        <v>32.160000000000004</v>
      </c>
      <c r="Z8" s="88">
        <f t="shared" si="1"/>
        <v>19.68</v>
      </c>
      <c r="AA8" s="89">
        <f t="shared" si="2"/>
        <v>30.72</v>
      </c>
      <c r="AB8" s="89">
        <f t="shared" si="3"/>
        <v>33.599999999999994</v>
      </c>
      <c r="AC8" s="30">
        <f t="shared" si="4"/>
        <v>34.8</v>
      </c>
      <c r="AD8" s="30">
        <f t="shared" si="5"/>
        <v>36.480000000000004</v>
      </c>
    </row>
    <row r="9" spans="1:30" s="28" customFormat="1" ht="52.5" customHeight="1">
      <c r="A9" s="40" t="s">
        <v>71</v>
      </c>
      <c r="B9" s="15" t="s">
        <v>79</v>
      </c>
      <c r="C9" s="1">
        <v>13.2</v>
      </c>
      <c r="D9" s="46">
        <f>C9/9</f>
        <v>1.4666666666666666</v>
      </c>
      <c r="E9" s="14" t="s">
        <v>102</v>
      </c>
      <c r="F9" s="5">
        <v>1.58</v>
      </c>
      <c r="G9" s="16">
        <f>F9/1</f>
        <v>1.58</v>
      </c>
      <c r="H9" s="17" t="s">
        <v>110</v>
      </c>
      <c r="I9" s="53">
        <v>10.56</v>
      </c>
      <c r="J9" s="16">
        <f>I9/12</f>
        <v>0.88</v>
      </c>
      <c r="K9" s="15" t="s">
        <v>47</v>
      </c>
      <c r="L9" s="6">
        <v>16.2</v>
      </c>
      <c r="M9" s="16">
        <f>L9/9</f>
        <v>1.7999999999999998</v>
      </c>
      <c r="N9" s="13" t="s">
        <v>126</v>
      </c>
      <c r="O9" s="6">
        <v>23.13</v>
      </c>
      <c r="P9" s="16">
        <f>O9/9</f>
        <v>2.57</v>
      </c>
      <c r="Q9" s="15" t="s">
        <v>47</v>
      </c>
      <c r="R9" s="6">
        <v>15.48</v>
      </c>
      <c r="S9" s="16">
        <f>R9/9</f>
        <v>1.72</v>
      </c>
      <c r="T9" s="9"/>
      <c r="V9" s="3" t="s">
        <v>143</v>
      </c>
      <c r="W9" s="4"/>
      <c r="Y9" s="88">
        <f t="shared" si="0"/>
        <v>0</v>
      </c>
      <c r="Z9" s="88">
        <f t="shared" si="1"/>
        <v>0</v>
      </c>
      <c r="AA9" s="89">
        <f t="shared" si="2"/>
        <v>0</v>
      </c>
      <c r="AB9" s="89">
        <f t="shared" si="3"/>
        <v>0</v>
      </c>
      <c r="AC9" s="30">
        <f t="shared" si="4"/>
        <v>0</v>
      </c>
      <c r="AD9" s="30">
        <f t="shared" si="5"/>
        <v>0</v>
      </c>
    </row>
    <row r="10" spans="1:30" s="28" customFormat="1" ht="43.5" customHeight="1">
      <c r="A10" s="40" t="s">
        <v>58</v>
      </c>
      <c r="B10" s="14" t="s">
        <v>80</v>
      </c>
      <c r="C10" s="1">
        <v>15.48</v>
      </c>
      <c r="D10" s="46">
        <f>C10/12</f>
        <v>1.29</v>
      </c>
      <c r="E10" s="14" t="s">
        <v>102</v>
      </c>
      <c r="F10" s="5">
        <v>1.01</v>
      </c>
      <c r="G10" s="16">
        <f>F10/1</f>
        <v>1.01</v>
      </c>
      <c r="H10" s="17" t="s">
        <v>110</v>
      </c>
      <c r="I10" s="6">
        <v>9.36</v>
      </c>
      <c r="J10" s="16">
        <f>I10/12</f>
        <v>0.7799999999999999</v>
      </c>
      <c r="K10" s="14" t="s">
        <v>48</v>
      </c>
      <c r="L10" s="6">
        <v>19.2</v>
      </c>
      <c r="M10" s="16">
        <f>L10/12</f>
        <v>1.5999999999999999</v>
      </c>
      <c r="N10" s="13" t="s">
        <v>126</v>
      </c>
      <c r="O10" s="6">
        <v>25.56</v>
      </c>
      <c r="P10" s="16">
        <f>O10/9</f>
        <v>2.84</v>
      </c>
      <c r="Q10" s="14" t="s">
        <v>48</v>
      </c>
      <c r="R10" s="6">
        <v>22.08</v>
      </c>
      <c r="S10" s="16">
        <f>R10/12</f>
        <v>1.8399999999999999</v>
      </c>
      <c r="T10" s="9"/>
      <c r="V10" s="3"/>
      <c r="W10" s="4"/>
      <c r="Y10" s="88">
        <f t="shared" si="0"/>
        <v>0</v>
      </c>
      <c r="Z10" s="88">
        <f t="shared" si="1"/>
        <v>0</v>
      </c>
      <c r="AA10" s="89">
        <f t="shared" si="2"/>
        <v>0</v>
      </c>
      <c r="AB10" s="89">
        <f t="shared" si="3"/>
        <v>0</v>
      </c>
      <c r="AC10" s="30">
        <f t="shared" si="4"/>
        <v>0</v>
      </c>
      <c r="AD10" s="30">
        <f t="shared" si="5"/>
        <v>0</v>
      </c>
    </row>
    <row r="11" spans="1:30" s="28" customFormat="1" ht="55.5" customHeight="1">
      <c r="A11" s="40" t="s">
        <v>72</v>
      </c>
      <c r="B11" s="15" t="s">
        <v>81</v>
      </c>
      <c r="C11" s="6">
        <v>10.35</v>
      </c>
      <c r="D11" s="46">
        <f>C11/15</f>
        <v>0.69</v>
      </c>
      <c r="E11" s="14" t="s">
        <v>101</v>
      </c>
      <c r="F11" s="5">
        <v>1.43</v>
      </c>
      <c r="G11" s="16">
        <f>F11/4</f>
        <v>0.3575</v>
      </c>
      <c r="H11" s="15" t="s">
        <v>111</v>
      </c>
      <c r="I11" s="6">
        <v>8.4</v>
      </c>
      <c r="J11" s="16">
        <f>I11/20</f>
        <v>0.42000000000000004</v>
      </c>
      <c r="K11" s="15" t="s">
        <v>49</v>
      </c>
      <c r="L11" s="6">
        <v>14.4</v>
      </c>
      <c r="M11" s="16">
        <f>L11/12</f>
        <v>1.2</v>
      </c>
      <c r="N11" s="15" t="s">
        <v>127</v>
      </c>
      <c r="O11" s="6">
        <v>44.8</v>
      </c>
      <c r="P11" s="16">
        <f>O11/20</f>
        <v>2.2399999999999998</v>
      </c>
      <c r="Q11" s="15" t="s">
        <v>111</v>
      </c>
      <c r="R11" s="6">
        <v>16.52</v>
      </c>
      <c r="S11" s="16">
        <f>R11/20</f>
        <v>0.826</v>
      </c>
      <c r="T11" s="9"/>
      <c r="V11" s="3" t="s">
        <v>137</v>
      </c>
      <c r="W11" s="4"/>
      <c r="Y11" s="88">
        <f t="shared" si="0"/>
        <v>0</v>
      </c>
      <c r="Z11" s="88">
        <f t="shared" si="1"/>
        <v>0</v>
      </c>
      <c r="AA11" s="89">
        <f t="shared" si="2"/>
        <v>0</v>
      </c>
      <c r="AB11" s="89">
        <f t="shared" si="3"/>
        <v>0</v>
      </c>
      <c r="AC11" s="30">
        <f t="shared" si="4"/>
        <v>0</v>
      </c>
      <c r="AD11" s="30">
        <f t="shared" si="5"/>
        <v>0</v>
      </c>
    </row>
    <row r="12" spans="1:30" s="28" customFormat="1" ht="39.75" customHeight="1">
      <c r="A12" s="40" t="s">
        <v>59</v>
      </c>
      <c r="B12" s="15" t="s">
        <v>82</v>
      </c>
      <c r="C12" s="6">
        <v>12.8</v>
      </c>
      <c r="D12" s="46">
        <f>C12/12</f>
        <v>1.0666666666666667</v>
      </c>
      <c r="E12" s="14" t="s">
        <v>100</v>
      </c>
      <c r="F12" s="5">
        <v>0.77</v>
      </c>
      <c r="G12" s="16">
        <f>F12/1</f>
        <v>0.77</v>
      </c>
      <c r="H12" s="17" t="s">
        <v>110</v>
      </c>
      <c r="I12" s="6">
        <v>11.88</v>
      </c>
      <c r="J12" s="16">
        <f>I12/12</f>
        <v>0.9900000000000001</v>
      </c>
      <c r="K12" s="15" t="s">
        <v>120</v>
      </c>
      <c r="L12" s="6">
        <v>15.2</v>
      </c>
      <c r="M12" s="16">
        <f>L12/12</f>
        <v>1.2666666666666666</v>
      </c>
      <c r="N12" s="15" t="s">
        <v>128</v>
      </c>
      <c r="O12" s="6">
        <v>16.8</v>
      </c>
      <c r="P12" s="16">
        <f>O12/5.7</f>
        <v>2.9473684210526314</v>
      </c>
      <c r="Q12" s="15" t="s">
        <v>120</v>
      </c>
      <c r="R12" s="6">
        <v>15.2</v>
      </c>
      <c r="S12" s="16">
        <f>R12/12</f>
        <v>1.2666666666666666</v>
      </c>
      <c r="T12" s="9"/>
      <c r="V12" s="3" t="s">
        <v>144</v>
      </c>
      <c r="W12" s="4">
        <v>36</v>
      </c>
      <c r="Y12" s="88">
        <f t="shared" si="0"/>
        <v>38.4</v>
      </c>
      <c r="Z12" s="88">
        <f t="shared" si="1"/>
        <v>27.72</v>
      </c>
      <c r="AA12" s="89">
        <f t="shared" si="2"/>
        <v>35.64</v>
      </c>
      <c r="AB12" s="89">
        <f t="shared" si="3"/>
        <v>45.599999999999994</v>
      </c>
      <c r="AC12" s="30">
        <f t="shared" si="4"/>
        <v>106.10526315789473</v>
      </c>
      <c r="AD12" s="30">
        <f t="shared" si="5"/>
        <v>45.599999999999994</v>
      </c>
    </row>
    <row r="13" spans="1:30" s="28" customFormat="1" ht="36.75" customHeight="1">
      <c r="A13" s="40" t="s">
        <v>73</v>
      </c>
      <c r="B13" s="14" t="s">
        <v>84</v>
      </c>
      <c r="C13" s="6">
        <v>7.78</v>
      </c>
      <c r="D13" s="46">
        <f>C13/16</f>
        <v>0.48625</v>
      </c>
      <c r="E13" s="14" t="s">
        <v>101</v>
      </c>
      <c r="F13" s="8">
        <v>1.43</v>
      </c>
      <c r="G13" s="16">
        <f>F13/4</f>
        <v>0.3575</v>
      </c>
      <c r="H13" s="15" t="s">
        <v>111</v>
      </c>
      <c r="I13" s="6">
        <v>11.6</v>
      </c>
      <c r="J13" s="16">
        <f>I13/20</f>
        <v>0.58</v>
      </c>
      <c r="K13" s="15" t="s">
        <v>111</v>
      </c>
      <c r="L13" s="6">
        <v>13.2</v>
      </c>
      <c r="M13" s="16">
        <f>L13/20</f>
        <v>0.6599999999999999</v>
      </c>
      <c r="N13" s="15" t="s">
        <v>129</v>
      </c>
      <c r="O13" s="6">
        <v>41.58</v>
      </c>
      <c r="P13" s="16">
        <f>O13/24</f>
        <v>1.7325</v>
      </c>
      <c r="Q13" s="15" t="s">
        <v>111</v>
      </c>
      <c r="R13" s="6">
        <v>12.2</v>
      </c>
      <c r="S13" s="16">
        <f>R13/20</f>
        <v>0.61</v>
      </c>
      <c r="T13" s="9"/>
      <c r="V13" s="3" t="s">
        <v>148</v>
      </c>
      <c r="W13" s="4">
        <v>40</v>
      </c>
      <c r="Y13" s="88">
        <f t="shared" si="0"/>
        <v>19.45</v>
      </c>
      <c r="Z13" s="88">
        <f t="shared" si="1"/>
        <v>14.299999999999999</v>
      </c>
      <c r="AA13" s="89">
        <f t="shared" si="2"/>
        <v>23.2</v>
      </c>
      <c r="AB13" s="89">
        <f t="shared" si="3"/>
        <v>26.4</v>
      </c>
      <c r="AC13" s="30">
        <f t="shared" si="4"/>
        <v>69.3</v>
      </c>
      <c r="AD13" s="30">
        <f t="shared" si="5"/>
        <v>24.4</v>
      </c>
    </row>
    <row r="14" spans="1:30" s="28" customFormat="1" ht="35.25" customHeight="1">
      <c r="A14" s="40" t="s">
        <v>74</v>
      </c>
      <c r="B14" s="14" t="s">
        <v>85</v>
      </c>
      <c r="C14" s="6">
        <v>9.3</v>
      </c>
      <c r="D14" s="46">
        <f>C14/10</f>
        <v>0.93</v>
      </c>
      <c r="E14" s="14" t="s">
        <v>103</v>
      </c>
      <c r="F14" s="5">
        <v>10.23</v>
      </c>
      <c r="G14" s="16">
        <f>F14/5</f>
        <v>2.0460000000000003</v>
      </c>
      <c r="H14" s="15" t="s">
        <v>111</v>
      </c>
      <c r="I14" s="6">
        <v>17.8</v>
      </c>
      <c r="J14" s="16">
        <f>I14/20</f>
        <v>0.89</v>
      </c>
      <c r="K14" s="15" t="s">
        <v>111</v>
      </c>
      <c r="L14" s="6">
        <v>22.8</v>
      </c>
      <c r="M14" s="16">
        <f>L14/20</f>
        <v>1.1400000000000001</v>
      </c>
      <c r="N14" s="15" t="s">
        <v>130</v>
      </c>
      <c r="O14" s="6">
        <v>19.38</v>
      </c>
      <c r="P14" s="16">
        <f>O14/10</f>
        <v>1.938</v>
      </c>
      <c r="Q14" s="15" t="s">
        <v>111</v>
      </c>
      <c r="R14" s="6">
        <v>35.52</v>
      </c>
      <c r="S14" s="16">
        <f>R14/20</f>
        <v>1.7760000000000002</v>
      </c>
      <c r="T14" s="9"/>
      <c r="V14" s="3" t="s">
        <v>148</v>
      </c>
      <c r="W14" s="4">
        <v>40</v>
      </c>
      <c r="Y14" s="88">
        <f t="shared" si="0"/>
        <v>37.2</v>
      </c>
      <c r="Z14" s="88">
        <f t="shared" si="1"/>
        <v>81.84</v>
      </c>
      <c r="AA14" s="89">
        <f t="shared" si="2"/>
        <v>35.6</v>
      </c>
      <c r="AB14" s="89">
        <f t="shared" si="3"/>
        <v>45.60000000000001</v>
      </c>
      <c r="AC14" s="30">
        <f t="shared" si="4"/>
        <v>77.52</v>
      </c>
      <c r="AD14" s="30">
        <f t="shared" si="5"/>
        <v>71.04</v>
      </c>
    </row>
    <row r="15" spans="1:30" s="28" customFormat="1" ht="36.75" customHeight="1">
      <c r="A15" s="40" t="s">
        <v>60</v>
      </c>
      <c r="B15" s="15" t="s">
        <v>86</v>
      </c>
      <c r="C15" s="6">
        <v>18.84</v>
      </c>
      <c r="D15" s="46">
        <f>C15/12</f>
        <v>1.57</v>
      </c>
      <c r="E15" s="14" t="s">
        <v>102</v>
      </c>
      <c r="F15" s="5">
        <v>1.73</v>
      </c>
      <c r="G15" s="16">
        <f>F15/1</f>
        <v>1.73</v>
      </c>
      <c r="H15" s="15" t="s">
        <v>112</v>
      </c>
      <c r="I15" s="6">
        <v>11.88</v>
      </c>
      <c r="J15" s="16">
        <f>I15/9</f>
        <v>1.32</v>
      </c>
      <c r="K15" s="15" t="s">
        <v>121</v>
      </c>
      <c r="L15" s="6">
        <v>7.2</v>
      </c>
      <c r="M15" s="16">
        <f>L15/4.5</f>
        <v>1.6</v>
      </c>
      <c r="N15" s="13" t="s">
        <v>126</v>
      </c>
      <c r="O15" s="6">
        <v>20.52</v>
      </c>
      <c r="P15" s="16">
        <f>O15/9</f>
        <v>2.28</v>
      </c>
      <c r="Q15" s="15" t="s">
        <v>112</v>
      </c>
      <c r="R15" s="6">
        <v>16.8</v>
      </c>
      <c r="S15" s="16">
        <f>R15/9</f>
        <v>1.8666666666666667</v>
      </c>
      <c r="T15" s="9"/>
      <c r="V15" s="3" t="s">
        <v>166</v>
      </c>
      <c r="W15" s="4">
        <v>18</v>
      </c>
      <c r="Y15" s="88">
        <f t="shared" si="0"/>
        <v>28.26</v>
      </c>
      <c r="Z15" s="88">
        <f t="shared" si="1"/>
        <v>31.14</v>
      </c>
      <c r="AA15" s="89">
        <f t="shared" si="2"/>
        <v>23.76</v>
      </c>
      <c r="AB15" s="89">
        <f t="shared" si="3"/>
        <v>28.8</v>
      </c>
      <c r="AC15" s="30">
        <f t="shared" si="4"/>
        <v>41.04</v>
      </c>
      <c r="AD15" s="30">
        <f t="shared" si="5"/>
        <v>33.6</v>
      </c>
    </row>
    <row r="16" spans="1:30" s="28" customFormat="1" ht="35.25" customHeight="1">
      <c r="A16" s="40" t="s">
        <v>75</v>
      </c>
      <c r="B16" s="14" t="s">
        <v>87</v>
      </c>
      <c r="C16" s="6">
        <v>13.6</v>
      </c>
      <c r="D16" s="46">
        <f>C16/20</f>
        <v>0.6799999999999999</v>
      </c>
      <c r="E16" s="14" t="s">
        <v>103</v>
      </c>
      <c r="F16" s="5">
        <v>2.89</v>
      </c>
      <c r="G16" s="31">
        <f>F16/5</f>
        <v>0.5780000000000001</v>
      </c>
      <c r="H16" s="15" t="s">
        <v>111</v>
      </c>
      <c r="I16" s="6">
        <v>12.6</v>
      </c>
      <c r="J16" s="16">
        <f>I16/20</f>
        <v>0.63</v>
      </c>
      <c r="K16" s="15" t="s">
        <v>111</v>
      </c>
      <c r="L16" s="6">
        <v>15.6</v>
      </c>
      <c r="M16" s="16">
        <f>L16/20</f>
        <v>0.78</v>
      </c>
      <c r="N16" s="15" t="s">
        <v>130</v>
      </c>
      <c r="O16" s="6">
        <v>17.38</v>
      </c>
      <c r="P16" s="16">
        <f>O16/10</f>
        <v>1.738</v>
      </c>
      <c r="Q16" s="15" t="s">
        <v>111</v>
      </c>
      <c r="R16" s="6">
        <v>15.52</v>
      </c>
      <c r="S16" s="31">
        <f>R16/20</f>
        <v>0.776</v>
      </c>
      <c r="T16" s="9"/>
      <c r="V16" s="3" t="s">
        <v>137</v>
      </c>
      <c r="W16" s="4"/>
      <c r="Y16" s="88">
        <f t="shared" si="0"/>
        <v>0</v>
      </c>
      <c r="Z16" s="88">
        <f t="shared" si="1"/>
        <v>0</v>
      </c>
      <c r="AA16" s="89">
        <f t="shared" si="2"/>
        <v>0</v>
      </c>
      <c r="AB16" s="89">
        <f t="shared" si="3"/>
        <v>0</v>
      </c>
      <c r="AC16" s="30">
        <f t="shared" si="4"/>
        <v>0</v>
      </c>
      <c r="AD16" s="30">
        <f t="shared" si="5"/>
        <v>0</v>
      </c>
    </row>
    <row r="17" spans="1:30" s="28" customFormat="1" ht="25.5" customHeight="1">
      <c r="A17" s="40" t="s">
        <v>61</v>
      </c>
      <c r="B17" s="15" t="s">
        <v>33</v>
      </c>
      <c r="C17" s="6">
        <v>0.45</v>
      </c>
      <c r="D17" s="46">
        <f>C17/1</f>
        <v>0.45</v>
      </c>
      <c r="E17" s="15" t="s">
        <v>33</v>
      </c>
      <c r="F17" s="5">
        <v>0.49</v>
      </c>
      <c r="G17" s="31">
        <f>F17/1</f>
        <v>0.49</v>
      </c>
      <c r="H17" s="15" t="s">
        <v>33</v>
      </c>
      <c r="I17" s="6">
        <v>0.52</v>
      </c>
      <c r="J17" s="16">
        <f>I17/1</f>
        <v>0.52</v>
      </c>
      <c r="K17" s="57" t="s">
        <v>122</v>
      </c>
      <c r="L17" s="58">
        <v>8.64</v>
      </c>
      <c r="M17" s="59">
        <f>L17/12</f>
        <v>0.7200000000000001</v>
      </c>
      <c r="N17" s="17" t="s">
        <v>33</v>
      </c>
      <c r="O17" s="6">
        <v>0.7</v>
      </c>
      <c r="P17" s="16">
        <f>O17/1</f>
        <v>0.7</v>
      </c>
      <c r="Q17" s="17" t="s">
        <v>132</v>
      </c>
      <c r="R17" s="6">
        <v>5.3</v>
      </c>
      <c r="S17" s="16">
        <f>R17/10</f>
        <v>0.53</v>
      </c>
      <c r="T17" s="9"/>
      <c r="V17" s="3"/>
      <c r="W17" s="4"/>
      <c r="Y17" s="88">
        <f t="shared" si="0"/>
        <v>0</v>
      </c>
      <c r="Z17" s="88">
        <f t="shared" si="1"/>
        <v>0</v>
      </c>
      <c r="AA17" s="89">
        <f t="shared" si="2"/>
        <v>0</v>
      </c>
      <c r="AB17" s="89">
        <f t="shared" si="3"/>
        <v>0</v>
      </c>
      <c r="AC17" s="30">
        <f t="shared" si="4"/>
        <v>0</v>
      </c>
      <c r="AD17" s="30">
        <f t="shared" si="5"/>
        <v>0</v>
      </c>
    </row>
    <row r="18" spans="1:30" s="28" customFormat="1" ht="15.75">
      <c r="A18" s="40" t="s">
        <v>62</v>
      </c>
      <c r="B18" s="15" t="s">
        <v>34</v>
      </c>
      <c r="C18" s="6">
        <v>3.5</v>
      </c>
      <c r="D18" s="46">
        <f>C18/100</f>
        <v>0.035</v>
      </c>
      <c r="E18" s="15" t="s">
        <v>34</v>
      </c>
      <c r="F18" s="5">
        <v>3.49</v>
      </c>
      <c r="G18" s="31">
        <f>F18/100</f>
        <v>0.0349</v>
      </c>
      <c r="H18" s="15" t="s">
        <v>34</v>
      </c>
      <c r="I18" s="6">
        <v>4.4</v>
      </c>
      <c r="J18" s="16">
        <f>I18/100</f>
        <v>0.044000000000000004</v>
      </c>
      <c r="K18" s="15" t="s">
        <v>34</v>
      </c>
      <c r="L18" s="6">
        <v>7</v>
      </c>
      <c r="M18" s="16">
        <f>L18/100</f>
        <v>0.07</v>
      </c>
      <c r="N18" s="15" t="s">
        <v>34</v>
      </c>
      <c r="O18" s="6">
        <v>5.2</v>
      </c>
      <c r="P18" s="16">
        <f>O18/100</f>
        <v>0.052000000000000005</v>
      </c>
      <c r="Q18" s="15" t="s">
        <v>34</v>
      </c>
      <c r="R18" s="6">
        <v>3.95</v>
      </c>
      <c r="S18" s="31">
        <f>R18/100</f>
        <v>0.0395</v>
      </c>
      <c r="T18" s="9"/>
      <c r="V18" s="3" t="s">
        <v>174</v>
      </c>
      <c r="W18" s="4">
        <v>400</v>
      </c>
      <c r="Y18" s="88">
        <f t="shared" si="0"/>
        <v>14.000000000000002</v>
      </c>
      <c r="Z18" s="88">
        <f t="shared" si="1"/>
        <v>13.96</v>
      </c>
      <c r="AA18" s="89">
        <f t="shared" si="2"/>
        <v>17.6</v>
      </c>
      <c r="AB18" s="89">
        <f t="shared" si="3"/>
        <v>28.000000000000004</v>
      </c>
      <c r="AC18" s="30">
        <f t="shared" si="4"/>
        <v>20.8</v>
      </c>
      <c r="AD18" s="30">
        <f t="shared" si="5"/>
        <v>15.8</v>
      </c>
    </row>
    <row r="19" spans="1:30" s="28" customFormat="1" ht="33.75" customHeight="1">
      <c r="A19" s="40" t="s">
        <v>23</v>
      </c>
      <c r="B19" s="15" t="s">
        <v>35</v>
      </c>
      <c r="C19" s="6">
        <v>11.55</v>
      </c>
      <c r="D19" s="46">
        <f>C19/5</f>
        <v>2.31</v>
      </c>
      <c r="E19" s="14" t="s">
        <v>36</v>
      </c>
      <c r="F19" s="5">
        <v>2.74</v>
      </c>
      <c r="G19" s="31">
        <f>F19/10</f>
        <v>0.274</v>
      </c>
      <c r="H19" s="14" t="s">
        <v>36</v>
      </c>
      <c r="I19" s="6">
        <v>11</v>
      </c>
      <c r="J19" s="16">
        <f>I19/10</f>
        <v>1.1</v>
      </c>
      <c r="K19" s="14" t="s">
        <v>35</v>
      </c>
      <c r="L19" s="6">
        <v>3</v>
      </c>
      <c r="M19" s="16">
        <f>L19/5</f>
        <v>0.6</v>
      </c>
      <c r="N19" s="14" t="s">
        <v>36</v>
      </c>
      <c r="O19" s="6">
        <v>31.7</v>
      </c>
      <c r="P19" s="16">
        <f>O19/10</f>
        <v>3.17</v>
      </c>
      <c r="Q19" s="14" t="s">
        <v>36</v>
      </c>
      <c r="R19" s="6">
        <v>5.7</v>
      </c>
      <c r="S19" s="16">
        <f>R19/10</f>
        <v>0.5700000000000001</v>
      </c>
      <c r="T19" s="9"/>
      <c r="V19" s="3" t="s">
        <v>40</v>
      </c>
      <c r="W19" s="4"/>
      <c r="Y19" s="88">
        <f t="shared" si="0"/>
        <v>0</v>
      </c>
      <c r="Z19" s="88">
        <f t="shared" si="1"/>
        <v>0</v>
      </c>
      <c r="AA19" s="89">
        <f t="shared" si="2"/>
        <v>0</v>
      </c>
      <c r="AB19" s="89">
        <f t="shared" si="3"/>
        <v>0</v>
      </c>
      <c r="AC19" s="30">
        <f t="shared" si="4"/>
        <v>0</v>
      </c>
      <c r="AD19" s="30">
        <f t="shared" si="5"/>
        <v>0</v>
      </c>
    </row>
    <row r="20" spans="1:30" s="28" customFormat="1" ht="15.75">
      <c r="A20" s="40" t="s">
        <v>12</v>
      </c>
      <c r="B20" s="14" t="s">
        <v>36</v>
      </c>
      <c r="C20" s="6">
        <v>4.2</v>
      </c>
      <c r="D20" s="46">
        <f>C20/10</f>
        <v>0.42000000000000004</v>
      </c>
      <c r="E20" s="15" t="s">
        <v>35</v>
      </c>
      <c r="F20" s="5">
        <v>3.47</v>
      </c>
      <c r="G20" s="16">
        <f>F20/5</f>
        <v>0.6940000000000001</v>
      </c>
      <c r="H20" s="14" t="s">
        <v>36</v>
      </c>
      <c r="I20" s="6">
        <v>6.1</v>
      </c>
      <c r="J20" s="16">
        <f>I20/10</f>
        <v>0.61</v>
      </c>
      <c r="K20" s="15" t="s">
        <v>36</v>
      </c>
      <c r="L20" s="6">
        <v>3.8</v>
      </c>
      <c r="M20" s="16">
        <f>L20/10</f>
        <v>0.38</v>
      </c>
      <c r="N20" s="15" t="s">
        <v>35</v>
      </c>
      <c r="O20" s="6">
        <v>12.5</v>
      </c>
      <c r="P20" s="16">
        <f>O20/5</f>
        <v>2.5</v>
      </c>
      <c r="Q20" s="15" t="s">
        <v>34</v>
      </c>
      <c r="R20" s="6">
        <v>10.95</v>
      </c>
      <c r="S20" s="31">
        <f>R20/100</f>
        <v>0.10949999999999999</v>
      </c>
      <c r="T20" s="9"/>
      <c r="V20" s="3"/>
      <c r="W20" s="4"/>
      <c r="Y20" s="88">
        <f t="shared" si="0"/>
        <v>0</v>
      </c>
      <c r="Z20" s="88">
        <f t="shared" si="1"/>
        <v>0</v>
      </c>
      <c r="AA20" s="89">
        <f t="shared" si="2"/>
        <v>0</v>
      </c>
      <c r="AB20" s="89">
        <f t="shared" si="3"/>
        <v>0</v>
      </c>
      <c r="AC20" s="30">
        <f t="shared" si="4"/>
        <v>0</v>
      </c>
      <c r="AD20" s="30">
        <f t="shared" si="5"/>
        <v>0</v>
      </c>
    </row>
    <row r="21" spans="1:30" s="28" customFormat="1" ht="19.5" customHeight="1">
      <c r="A21" s="40" t="s">
        <v>13</v>
      </c>
      <c r="B21" s="15" t="s">
        <v>38</v>
      </c>
      <c r="C21" s="6">
        <v>4.06</v>
      </c>
      <c r="D21" s="46">
        <f>C21/1</f>
        <v>4.06</v>
      </c>
      <c r="E21" s="15" t="s">
        <v>38</v>
      </c>
      <c r="F21" s="5">
        <v>3.47</v>
      </c>
      <c r="G21" s="16">
        <f>F21/1</f>
        <v>3.47</v>
      </c>
      <c r="H21" s="14" t="s">
        <v>38</v>
      </c>
      <c r="I21" s="6">
        <v>3.9</v>
      </c>
      <c r="J21" s="16">
        <f>I21/1</f>
        <v>3.9</v>
      </c>
      <c r="K21" s="14" t="s">
        <v>38</v>
      </c>
      <c r="L21" s="6">
        <v>3.9</v>
      </c>
      <c r="M21" s="16">
        <f>L21/1</f>
        <v>3.9</v>
      </c>
      <c r="N21" s="14" t="s">
        <v>38</v>
      </c>
      <c r="O21" s="6">
        <v>4.78</v>
      </c>
      <c r="P21" s="16">
        <f>O21/1</f>
        <v>4.78</v>
      </c>
      <c r="Q21" s="14" t="s">
        <v>38</v>
      </c>
      <c r="R21" s="6">
        <v>3.99</v>
      </c>
      <c r="S21" s="16">
        <f>R21/1</f>
        <v>3.99</v>
      </c>
      <c r="T21" s="9"/>
      <c r="V21" s="3"/>
      <c r="W21" s="4"/>
      <c r="Y21" s="88">
        <f t="shared" si="0"/>
        <v>0</v>
      </c>
      <c r="Z21" s="88">
        <f t="shared" si="1"/>
        <v>0</v>
      </c>
      <c r="AA21" s="89">
        <f t="shared" si="2"/>
        <v>0</v>
      </c>
      <c r="AB21" s="89">
        <f t="shared" si="3"/>
        <v>0</v>
      </c>
      <c r="AC21" s="30">
        <f t="shared" si="4"/>
        <v>0</v>
      </c>
      <c r="AD21" s="30">
        <f t="shared" si="5"/>
        <v>0</v>
      </c>
    </row>
    <row r="22" spans="1:30" s="28" customFormat="1" ht="15.75">
      <c r="A22" s="40" t="s">
        <v>14</v>
      </c>
      <c r="B22" s="14" t="s">
        <v>38</v>
      </c>
      <c r="C22" s="6">
        <v>0.37</v>
      </c>
      <c r="D22" s="46">
        <f>C22/1</f>
        <v>0.37</v>
      </c>
      <c r="E22" s="14" t="s">
        <v>38</v>
      </c>
      <c r="F22" s="5">
        <v>0.93</v>
      </c>
      <c r="G22" s="16">
        <f>F22/1</f>
        <v>0.93</v>
      </c>
      <c r="H22" s="14" t="s">
        <v>113</v>
      </c>
      <c r="I22" s="6">
        <v>1.22</v>
      </c>
      <c r="J22" s="16">
        <f>I22/1</f>
        <v>1.22</v>
      </c>
      <c r="K22" s="14" t="s">
        <v>38</v>
      </c>
      <c r="L22" s="6">
        <v>1</v>
      </c>
      <c r="M22" s="16">
        <f>L22/1</f>
        <v>1</v>
      </c>
      <c r="N22" s="14" t="s">
        <v>38</v>
      </c>
      <c r="O22" s="6">
        <v>1.05</v>
      </c>
      <c r="P22" s="16">
        <f>O22/1</f>
        <v>1.05</v>
      </c>
      <c r="Q22" s="14" t="s">
        <v>37</v>
      </c>
      <c r="R22" s="6">
        <v>24.75</v>
      </c>
      <c r="S22" s="16">
        <f>R22/25</f>
        <v>0.99</v>
      </c>
      <c r="T22" s="9"/>
      <c r="V22" s="3" t="s">
        <v>40</v>
      </c>
      <c r="W22" s="4"/>
      <c r="Y22" s="88">
        <f t="shared" si="0"/>
        <v>0</v>
      </c>
      <c r="Z22" s="88">
        <f t="shared" si="1"/>
        <v>0</v>
      </c>
      <c r="AA22" s="89">
        <f t="shared" si="2"/>
        <v>0</v>
      </c>
      <c r="AB22" s="89">
        <f t="shared" si="3"/>
        <v>0</v>
      </c>
      <c r="AC22" s="30">
        <f t="shared" si="4"/>
        <v>0</v>
      </c>
      <c r="AD22" s="30">
        <f t="shared" si="5"/>
        <v>0</v>
      </c>
    </row>
    <row r="23" spans="1:30" s="28" customFormat="1" ht="19.5" customHeight="1">
      <c r="A23" s="40" t="s">
        <v>24</v>
      </c>
      <c r="B23" s="15" t="s">
        <v>38</v>
      </c>
      <c r="C23" s="6">
        <v>1.9</v>
      </c>
      <c r="D23" s="46">
        <f>C23/1</f>
        <v>1.9</v>
      </c>
      <c r="E23" s="15" t="s">
        <v>38</v>
      </c>
      <c r="F23" s="5">
        <v>1.7</v>
      </c>
      <c r="G23" s="16">
        <f>F23/1</f>
        <v>1.7</v>
      </c>
      <c r="H23" s="15" t="s">
        <v>38</v>
      </c>
      <c r="I23" s="6">
        <v>1.88</v>
      </c>
      <c r="J23" s="16">
        <f>I23/1</f>
        <v>1.88</v>
      </c>
      <c r="K23" s="14" t="s">
        <v>38</v>
      </c>
      <c r="L23" s="6">
        <v>1.88</v>
      </c>
      <c r="M23" s="16">
        <f>L23/1</f>
        <v>1.88</v>
      </c>
      <c r="N23" s="14" t="s">
        <v>38</v>
      </c>
      <c r="O23" s="6">
        <v>2.45</v>
      </c>
      <c r="P23" s="16">
        <f>O23/1</f>
        <v>2.45</v>
      </c>
      <c r="Q23" s="14" t="s">
        <v>38</v>
      </c>
      <c r="R23" s="6">
        <v>1.79</v>
      </c>
      <c r="S23" s="16">
        <f>R23/1</f>
        <v>1.79</v>
      </c>
      <c r="T23" s="9"/>
      <c r="V23" s="3"/>
      <c r="W23" s="4"/>
      <c r="Y23" s="88">
        <f t="shared" si="0"/>
        <v>0</v>
      </c>
      <c r="Z23" s="88">
        <f t="shared" si="1"/>
        <v>0</v>
      </c>
      <c r="AA23" s="89">
        <f t="shared" si="2"/>
        <v>0</v>
      </c>
      <c r="AB23" s="89">
        <f t="shared" si="3"/>
        <v>0</v>
      </c>
      <c r="AC23" s="30">
        <f t="shared" si="4"/>
        <v>0</v>
      </c>
      <c r="AD23" s="30">
        <f t="shared" si="5"/>
        <v>0</v>
      </c>
    </row>
    <row r="24" spans="1:30" s="28" customFormat="1" ht="21" customHeight="1">
      <c r="A24" s="40" t="s">
        <v>6</v>
      </c>
      <c r="B24" s="15" t="s">
        <v>38</v>
      </c>
      <c r="C24" s="6">
        <v>0.9</v>
      </c>
      <c r="D24" s="46">
        <f>C24/1</f>
        <v>0.9</v>
      </c>
      <c r="E24" s="15" t="s">
        <v>38</v>
      </c>
      <c r="F24" s="5">
        <v>1.67</v>
      </c>
      <c r="G24" s="16">
        <f>F24/1</f>
        <v>1.67</v>
      </c>
      <c r="H24" s="15" t="s">
        <v>38</v>
      </c>
      <c r="I24" s="6">
        <v>1.35</v>
      </c>
      <c r="J24" s="16">
        <f>I24/1</f>
        <v>1.35</v>
      </c>
      <c r="K24" s="14" t="s">
        <v>38</v>
      </c>
      <c r="L24" s="6">
        <v>1.45</v>
      </c>
      <c r="M24" s="16">
        <f>L24/1</f>
        <v>1.45</v>
      </c>
      <c r="N24" s="14" t="s">
        <v>38</v>
      </c>
      <c r="O24" s="6">
        <v>3.8</v>
      </c>
      <c r="P24" s="31">
        <f>O24/1</f>
        <v>3.8</v>
      </c>
      <c r="Q24" s="14" t="s">
        <v>38</v>
      </c>
      <c r="R24" s="6">
        <v>1.58</v>
      </c>
      <c r="S24" s="16">
        <f>R24/1</f>
        <v>1.58</v>
      </c>
      <c r="T24" s="9"/>
      <c r="V24" s="3" t="s">
        <v>35</v>
      </c>
      <c r="W24" s="4"/>
      <c r="Y24" s="88">
        <f t="shared" si="0"/>
        <v>0</v>
      </c>
      <c r="Z24" s="88">
        <f t="shared" si="1"/>
        <v>0</v>
      </c>
      <c r="AA24" s="89">
        <f t="shared" si="2"/>
        <v>0</v>
      </c>
      <c r="AB24" s="89">
        <f t="shared" si="3"/>
        <v>0</v>
      </c>
      <c r="AC24" s="30">
        <f t="shared" si="4"/>
        <v>0</v>
      </c>
      <c r="AD24" s="30">
        <f t="shared" si="5"/>
        <v>0</v>
      </c>
    </row>
    <row r="25" spans="1:30" s="28" customFormat="1" ht="20.25" customHeight="1">
      <c r="A25" s="40" t="s">
        <v>7</v>
      </c>
      <c r="B25" s="15" t="s">
        <v>41</v>
      </c>
      <c r="C25" s="6">
        <v>23.7</v>
      </c>
      <c r="D25" s="47">
        <f>C25/1000</f>
        <v>0.0237</v>
      </c>
      <c r="E25" s="15" t="s">
        <v>40</v>
      </c>
      <c r="F25" s="5">
        <v>0.4</v>
      </c>
      <c r="G25" s="16">
        <f>F25/20</f>
        <v>0.02</v>
      </c>
      <c r="H25" s="15" t="s">
        <v>41</v>
      </c>
      <c r="I25" s="6">
        <v>28</v>
      </c>
      <c r="J25" s="16">
        <f>I25/1000</f>
        <v>0.028</v>
      </c>
      <c r="K25" s="15" t="s">
        <v>50</v>
      </c>
      <c r="L25" s="6">
        <v>0.86</v>
      </c>
      <c r="M25" s="16">
        <f>L25/20</f>
        <v>0.043</v>
      </c>
      <c r="N25" s="15" t="s">
        <v>50</v>
      </c>
      <c r="O25" s="6">
        <v>0.7</v>
      </c>
      <c r="P25" s="16">
        <f>O25/20</f>
        <v>0.034999999999999996</v>
      </c>
      <c r="Q25" s="15" t="s">
        <v>133</v>
      </c>
      <c r="R25" s="6">
        <v>1.22</v>
      </c>
      <c r="S25" s="16">
        <f>R25/50</f>
        <v>0.024399999999999998</v>
      </c>
      <c r="T25" s="9"/>
      <c r="V25" s="3" t="s">
        <v>151</v>
      </c>
      <c r="W25" s="4"/>
      <c r="Y25" s="88">
        <f t="shared" si="0"/>
        <v>0</v>
      </c>
      <c r="Z25" s="88">
        <f t="shared" si="1"/>
        <v>0</v>
      </c>
      <c r="AA25" s="89">
        <f t="shared" si="2"/>
        <v>0</v>
      </c>
      <c r="AB25" s="89">
        <f t="shared" si="3"/>
        <v>0</v>
      </c>
      <c r="AC25" s="30">
        <f t="shared" si="4"/>
        <v>0</v>
      </c>
      <c r="AD25" s="30">
        <f t="shared" si="5"/>
        <v>0</v>
      </c>
    </row>
    <row r="26" spans="1:30" s="28" customFormat="1" ht="23.25" customHeight="1">
      <c r="A26" s="40" t="s">
        <v>8</v>
      </c>
      <c r="B26" s="37" t="s">
        <v>88</v>
      </c>
      <c r="C26" s="6">
        <v>23.7</v>
      </c>
      <c r="D26" s="46">
        <f>C26/300</f>
        <v>0.079</v>
      </c>
      <c r="E26" s="57" t="s">
        <v>104</v>
      </c>
      <c r="F26" s="5">
        <v>1.44</v>
      </c>
      <c r="G26" s="16">
        <f>F26/10</f>
        <v>0.144</v>
      </c>
      <c r="H26" s="37" t="s">
        <v>114</v>
      </c>
      <c r="I26" s="6">
        <v>22.8</v>
      </c>
      <c r="J26" s="16">
        <f>I26/300</f>
        <v>0.076</v>
      </c>
      <c r="K26" s="15" t="s">
        <v>51</v>
      </c>
      <c r="L26" s="6">
        <v>1.02</v>
      </c>
      <c r="M26" s="16">
        <f>L26/10</f>
        <v>0.10200000000000001</v>
      </c>
      <c r="N26" s="15" t="s">
        <v>131</v>
      </c>
      <c r="O26" s="6">
        <v>41.6</v>
      </c>
      <c r="P26" s="16">
        <f>O26/260</f>
        <v>0.16</v>
      </c>
      <c r="Q26" s="15" t="s">
        <v>50</v>
      </c>
      <c r="R26" s="6">
        <v>1.99</v>
      </c>
      <c r="S26" s="16">
        <f>R26/20</f>
        <v>0.0995</v>
      </c>
      <c r="T26" s="9"/>
      <c r="V26" s="3" t="s">
        <v>150</v>
      </c>
      <c r="W26" s="4"/>
      <c r="Y26" s="88">
        <f t="shared" si="0"/>
        <v>0</v>
      </c>
      <c r="Z26" s="88">
        <f t="shared" si="1"/>
        <v>0</v>
      </c>
      <c r="AA26" s="89">
        <f t="shared" si="2"/>
        <v>0</v>
      </c>
      <c r="AB26" s="89">
        <f t="shared" si="3"/>
        <v>0</v>
      </c>
      <c r="AC26" s="30">
        <f t="shared" si="4"/>
        <v>0</v>
      </c>
      <c r="AD26" s="30">
        <f t="shared" si="5"/>
        <v>0</v>
      </c>
    </row>
    <row r="27" spans="1:30" s="28" customFormat="1" ht="47.25">
      <c r="A27" s="40" t="s">
        <v>25</v>
      </c>
      <c r="B27" s="15" t="s">
        <v>89</v>
      </c>
      <c r="C27" s="6">
        <v>1.16</v>
      </c>
      <c r="D27" s="46">
        <f>C27/10</f>
        <v>0.11599999999999999</v>
      </c>
      <c r="E27" s="17" t="s">
        <v>42</v>
      </c>
      <c r="F27" s="5">
        <v>0.81</v>
      </c>
      <c r="G27" s="16">
        <f>F27/10</f>
        <v>0.081</v>
      </c>
      <c r="H27" s="15" t="s">
        <v>115</v>
      </c>
      <c r="I27" s="6">
        <v>0.98</v>
      </c>
      <c r="J27" s="16">
        <f>I27/10</f>
        <v>0.098</v>
      </c>
      <c r="K27" s="15" t="s">
        <v>115</v>
      </c>
      <c r="L27" s="6">
        <v>1.5</v>
      </c>
      <c r="M27" s="16">
        <f>L27/10</f>
        <v>0.15</v>
      </c>
      <c r="N27" s="15" t="s">
        <v>115</v>
      </c>
      <c r="O27" s="6">
        <v>1.9</v>
      </c>
      <c r="P27" s="16">
        <f>O27/10</f>
        <v>0.19</v>
      </c>
      <c r="Q27" s="15" t="s">
        <v>115</v>
      </c>
      <c r="R27" s="6">
        <v>1.59</v>
      </c>
      <c r="S27" s="16">
        <f>R27/10</f>
        <v>0.159</v>
      </c>
      <c r="T27" s="9"/>
      <c r="V27" s="3" t="s">
        <v>53</v>
      </c>
      <c r="W27" s="4">
        <v>720</v>
      </c>
      <c r="Y27" s="88">
        <f t="shared" si="0"/>
        <v>83.52</v>
      </c>
      <c r="Z27" s="88">
        <f t="shared" si="1"/>
        <v>58.32</v>
      </c>
      <c r="AA27" s="89">
        <f t="shared" si="2"/>
        <v>70.56</v>
      </c>
      <c r="AB27" s="89">
        <f t="shared" si="3"/>
        <v>108</v>
      </c>
      <c r="AC27" s="30">
        <f t="shared" si="4"/>
        <v>136.8</v>
      </c>
      <c r="AD27" s="30">
        <f t="shared" si="5"/>
        <v>114.48</v>
      </c>
    </row>
    <row r="28" spans="1:30" s="28" customFormat="1" ht="47.25">
      <c r="A28" s="40" t="s">
        <v>26</v>
      </c>
      <c r="B28" s="15" t="s">
        <v>89</v>
      </c>
      <c r="C28" s="6">
        <v>1.16</v>
      </c>
      <c r="D28" s="46">
        <f>C28/10</f>
        <v>0.11599999999999999</v>
      </c>
      <c r="E28" s="17" t="s">
        <v>42</v>
      </c>
      <c r="F28" s="5">
        <v>1.37</v>
      </c>
      <c r="G28" s="16">
        <f>F28/10</f>
        <v>0.137</v>
      </c>
      <c r="H28" s="15" t="s">
        <v>115</v>
      </c>
      <c r="I28" s="6">
        <v>0.94</v>
      </c>
      <c r="J28" s="16">
        <f>I28/10</f>
        <v>0.094</v>
      </c>
      <c r="K28" s="15" t="s">
        <v>115</v>
      </c>
      <c r="L28" s="6">
        <v>1.29</v>
      </c>
      <c r="M28" s="16">
        <f>L28/10</f>
        <v>0.129</v>
      </c>
      <c r="N28" s="15" t="s">
        <v>115</v>
      </c>
      <c r="O28" s="6">
        <v>1.74</v>
      </c>
      <c r="P28" s="16">
        <f>O28/10</f>
        <v>0.174</v>
      </c>
      <c r="Q28" s="15" t="s">
        <v>115</v>
      </c>
      <c r="R28" s="61">
        <v>1.155</v>
      </c>
      <c r="S28" s="31">
        <f>R28/10</f>
        <v>0.1155</v>
      </c>
      <c r="T28" s="9"/>
      <c r="V28" s="3"/>
      <c r="W28" s="4"/>
      <c r="Y28" s="88">
        <f t="shared" si="0"/>
        <v>0</v>
      </c>
      <c r="Z28" s="88">
        <f t="shared" si="1"/>
        <v>0</v>
      </c>
      <c r="AA28" s="89">
        <f t="shared" si="2"/>
        <v>0</v>
      </c>
      <c r="AB28" s="89">
        <f t="shared" si="3"/>
        <v>0</v>
      </c>
      <c r="AC28" s="30">
        <f t="shared" si="4"/>
        <v>0</v>
      </c>
      <c r="AD28" s="30">
        <f t="shared" si="5"/>
        <v>0</v>
      </c>
    </row>
    <row r="29" spans="1:30" s="28" customFormat="1" ht="72.75" customHeight="1">
      <c r="A29" s="41" t="s">
        <v>83</v>
      </c>
      <c r="B29" s="15" t="s">
        <v>91</v>
      </c>
      <c r="C29" s="6">
        <v>5.1</v>
      </c>
      <c r="D29" s="46">
        <f>C29/2</f>
        <v>2.55</v>
      </c>
      <c r="E29" s="14" t="s">
        <v>54</v>
      </c>
      <c r="F29" s="5">
        <v>5.76</v>
      </c>
      <c r="G29" s="16">
        <f>F29/2</f>
        <v>2.88</v>
      </c>
      <c r="H29" s="15" t="s">
        <v>54</v>
      </c>
      <c r="I29" s="6">
        <v>5.38</v>
      </c>
      <c r="J29" s="16">
        <f>I29/2</f>
        <v>2.69</v>
      </c>
      <c r="K29" s="15" t="s">
        <v>55</v>
      </c>
      <c r="L29" s="6">
        <v>5.6</v>
      </c>
      <c r="M29" s="16">
        <f>L29/2</f>
        <v>2.8</v>
      </c>
      <c r="N29" s="15" t="s">
        <v>55</v>
      </c>
      <c r="O29" s="6">
        <v>9.02</v>
      </c>
      <c r="P29" s="16">
        <f>O29/2</f>
        <v>4.51</v>
      </c>
      <c r="Q29" s="15" t="s">
        <v>55</v>
      </c>
      <c r="R29" s="6">
        <v>7.99</v>
      </c>
      <c r="S29" s="31">
        <f>R29/2</f>
        <v>3.995</v>
      </c>
      <c r="T29" s="9"/>
      <c r="V29" s="3"/>
      <c r="W29" s="4"/>
      <c r="Y29" s="88">
        <f t="shared" si="0"/>
        <v>0</v>
      </c>
      <c r="Z29" s="88">
        <f t="shared" si="1"/>
        <v>0</v>
      </c>
      <c r="AA29" s="89">
        <f t="shared" si="2"/>
        <v>0</v>
      </c>
      <c r="AB29" s="89">
        <f t="shared" si="3"/>
        <v>0</v>
      </c>
      <c r="AC29" s="30">
        <f t="shared" si="4"/>
        <v>0</v>
      </c>
      <c r="AD29" s="30">
        <f t="shared" si="5"/>
        <v>0</v>
      </c>
    </row>
    <row r="30" spans="1:30" s="28" customFormat="1" ht="69" customHeight="1">
      <c r="A30" s="41" t="s">
        <v>90</v>
      </c>
      <c r="B30" s="15" t="s">
        <v>92</v>
      </c>
      <c r="C30" s="6">
        <v>5.1</v>
      </c>
      <c r="D30" s="46">
        <f>C30/2</f>
        <v>2.55</v>
      </c>
      <c r="E30" s="14" t="s">
        <v>54</v>
      </c>
      <c r="F30" s="5">
        <v>5.76</v>
      </c>
      <c r="G30" s="16">
        <f>F30/2</f>
        <v>2.88</v>
      </c>
      <c r="H30" s="15" t="s">
        <v>54</v>
      </c>
      <c r="I30" s="6">
        <v>4.98</v>
      </c>
      <c r="J30" s="16">
        <f>I30/2</f>
        <v>2.49</v>
      </c>
      <c r="K30" s="15" t="s">
        <v>55</v>
      </c>
      <c r="L30" s="6">
        <v>6.2</v>
      </c>
      <c r="M30" s="16">
        <f>L30/2</f>
        <v>3.1</v>
      </c>
      <c r="N30" s="15" t="s">
        <v>55</v>
      </c>
      <c r="O30" s="6">
        <v>6.98</v>
      </c>
      <c r="P30" s="16">
        <f>O30/2</f>
        <v>3.49</v>
      </c>
      <c r="Q30" s="15" t="s">
        <v>55</v>
      </c>
      <c r="R30" s="6">
        <v>6.1</v>
      </c>
      <c r="S30" s="16">
        <f>R30/2</f>
        <v>3.05</v>
      </c>
      <c r="T30" s="29"/>
      <c r="V30" s="30" t="s">
        <v>167</v>
      </c>
      <c r="W30" s="4">
        <v>60</v>
      </c>
      <c r="Y30" s="88">
        <f t="shared" si="0"/>
        <v>153</v>
      </c>
      <c r="Z30" s="88">
        <f t="shared" si="1"/>
        <v>172.79999999999998</v>
      </c>
      <c r="AA30" s="89">
        <f t="shared" si="2"/>
        <v>149.4</v>
      </c>
      <c r="AB30" s="89">
        <f t="shared" si="3"/>
        <v>186</v>
      </c>
      <c r="AC30" s="30">
        <f t="shared" si="4"/>
        <v>209.4</v>
      </c>
      <c r="AD30" s="30">
        <f t="shared" si="5"/>
        <v>183</v>
      </c>
    </row>
    <row r="31" spans="1:30" s="28" customFormat="1" ht="15.75">
      <c r="A31" s="40" t="s">
        <v>9</v>
      </c>
      <c r="B31" s="15" t="s">
        <v>38</v>
      </c>
      <c r="C31" s="7">
        <v>0.91</v>
      </c>
      <c r="D31" s="48">
        <f>C31/1</f>
        <v>0.91</v>
      </c>
      <c r="E31" s="20" t="s">
        <v>38</v>
      </c>
      <c r="F31" s="5">
        <v>0.78</v>
      </c>
      <c r="G31" s="16">
        <f>F31/1</f>
        <v>0.78</v>
      </c>
      <c r="H31" s="20" t="s">
        <v>38</v>
      </c>
      <c r="I31" s="5">
        <v>1.3</v>
      </c>
      <c r="J31" s="16">
        <f>I31/1</f>
        <v>1.3</v>
      </c>
      <c r="K31" s="20" t="s">
        <v>38</v>
      </c>
      <c r="L31" s="5">
        <v>1.9</v>
      </c>
      <c r="M31" s="16">
        <f>L31/1</f>
        <v>1.9</v>
      </c>
      <c r="N31" s="20" t="s">
        <v>38</v>
      </c>
      <c r="O31" s="5">
        <v>2.35</v>
      </c>
      <c r="P31" s="16">
        <f>O31/1</f>
        <v>2.35</v>
      </c>
      <c r="Q31" s="20" t="s">
        <v>38</v>
      </c>
      <c r="R31" s="5">
        <v>0.78</v>
      </c>
      <c r="S31" s="16">
        <f>R31/1</f>
        <v>0.78</v>
      </c>
      <c r="T31" s="29"/>
      <c r="V31" s="30" t="s">
        <v>40</v>
      </c>
      <c r="W31" s="4"/>
      <c r="Y31" s="88">
        <f t="shared" si="0"/>
        <v>0</v>
      </c>
      <c r="Z31" s="88">
        <f t="shared" si="1"/>
        <v>0</v>
      </c>
      <c r="AA31" s="89">
        <f t="shared" si="2"/>
        <v>0</v>
      </c>
      <c r="AB31" s="89">
        <f t="shared" si="3"/>
        <v>0</v>
      </c>
      <c r="AC31" s="30">
        <f t="shared" si="4"/>
        <v>0</v>
      </c>
      <c r="AD31" s="30">
        <f t="shared" si="5"/>
        <v>0</v>
      </c>
    </row>
    <row r="32" spans="1:30" s="28" customFormat="1" ht="15.75">
      <c r="A32" s="40" t="s">
        <v>10</v>
      </c>
      <c r="B32" s="15" t="s">
        <v>38</v>
      </c>
      <c r="C32" s="7">
        <v>0.92</v>
      </c>
      <c r="D32" s="48">
        <f>C32/1</f>
        <v>0.92</v>
      </c>
      <c r="E32" s="20" t="s">
        <v>38</v>
      </c>
      <c r="F32" s="5">
        <v>0.78</v>
      </c>
      <c r="G32" s="16">
        <f>F32/1</f>
        <v>0.78</v>
      </c>
      <c r="H32" s="20" t="s">
        <v>38</v>
      </c>
      <c r="I32" s="5">
        <v>1.59</v>
      </c>
      <c r="J32" s="16">
        <f>I32/1</f>
        <v>1.59</v>
      </c>
      <c r="K32" s="20" t="s">
        <v>38</v>
      </c>
      <c r="L32" s="5">
        <v>1.3</v>
      </c>
      <c r="M32" s="16">
        <f>L32/1</f>
        <v>1.3</v>
      </c>
      <c r="N32" s="20" t="s">
        <v>38</v>
      </c>
      <c r="O32" s="5">
        <v>4.5</v>
      </c>
      <c r="P32" s="16">
        <f>O32/1</f>
        <v>4.5</v>
      </c>
      <c r="Q32" s="20" t="s">
        <v>38</v>
      </c>
      <c r="R32" s="5">
        <v>1.74</v>
      </c>
      <c r="S32" s="16">
        <f>R32/1</f>
        <v>1.74</v>
      </c>
      <c r="V32" s="30"/>
      <c r="W32" s="4"/>
      <c r="Y32" s="88">
        <f t="shared" si="0"/>
        <v>0</v>
      </c>
      <c r="Z32" s="88">
        <f t="shared" si="1"/>
        <v>0</v>
      </c>
      <c r="AA32" s="89">
        <f t="shared" si="2"/>
        <v>0</v>
      </c>
      <c r="AB32" s="89">
        <f t="shared" si="3"/>
        <v>0</v>
      </c>
      <c r="AC32" s="30">
        <f t="shared" si="4"/>
        <v>0</v>
      </c>
      <c r="AD32" s="30">
        <f t="shared" si="5"/>
        <v>0</v>
      </c>
    </row>
    <row r="33" spans="1:30" s="28" customFormat="1" ht="15.75">
      <c r="A33" s="40" t="s">
        <v>15</v>
      </c>
      <c r="B33" s="15" t="s">
        <v>93</v>
      </c>
      <c r="C33" s="7">
        <v>0.34</v>
      </c>
      <c r="D33" s="49">
        <f>C33/3</f>
        <v>0.11333333333333334</v>
      </c>
      <c r="E33" s="20" t="s">
        <v>40</v>
      </c>
      <c r="F33" s="5">
        <v>3.39</v>
      </c>
      <c r="G33" s="16">
        <f>F33/20</f>
        <v>0.1695</v>
      </c>
      <c r="H33" s="15" t="s">
        <v>93</v>
      </c>
      <c r="I33" s="54">
        <v>0.417</v>
      </c>
      <c r="J33" s="16">
        <f>I33/3</f>
        <v>0.13899999999999998</v>
      </c>
      <c r="K33" s="15" t="s">
        <v>93</v>
      </c>
      <c r="L33" s="5">
        <v>0.7</v>
      </c>
      <c r="M33" s="16">
        <f>L33/3</f>
        <v>0.2333333333333333</v>
      </c>
      <c r="N33" s="15" t="s">
        <v>43</v>
      </c>
      <c r="O33" s="5">
        <v>4.99</v>
      </c>
      <c r="P33" s="16">
        <f>O33/15</f>
        <v>0.33266666666666667</v>
      </c>
      <c r="Q33" s="15" t="s">
        <v>36</v>
      </c>
      <c r="R33" s="5">
        <v>1.9</v>
      </c>
      <c r="S33" s="16">
        <f>R33/10</f>
        <v>0.19</v>
      </c>
      <c r="V33" s="30"/>
      <c r="W33" s="4"/>
      <c r="Y33" s="88">
        <f t="shared" si="0"/>
        <v>0</v>
      </c>
      <c r="Z33" s="88">
        <f t="shared" si="1"/>
        <v>0</v>
      </c>
      <c r="AA33" s="89">
        <f t="shared" si="2"/>
        <v>0</v>
      </c>
      <c r="AB33" s="89">
        <f t="shared" si="3"/>
        <v>0</v>
      </c>
      <c r="AC33" s="30">
        <f t="shared" si="4"/>
        <v>0</v>
      </c>
      <c r="AD33" s="30">
        <f t="shared" si="5"/>
        <v>0</v>
      </c>
    </row>
    <row r="34" spans="1:30" s="28" customFormat="1" ht="15.75">
      <c r="A34" s="40" t="s">
        <v>16</v>
      </c>
      <c r="B34" s="14" t="s">
        <v>38</v>
      </c>
      <c r="C34" s="7">
        <v>6.45</v>
      </c>
      <c r="D34" s="50">
        <f aca="true" t="shared" si="6" ref="D34:D46">C34/1</f>
        <v>6.45</v>
      </c>
      <c r="E34" s="20" t="s">
        <v>38</v>
      </c>
      <c r="F34" s="5">
        <v>5.3</v>
      </c>
      <c r="G34" s="16">
        <f aca="true" t="shared" si="7" ref="G34:G46">F34/1</f>
        <v>5.3</v>
      </c>
      <c r="H34" s="20" t="s">
        <v>116</v>
      </c>
      <c r="I34" s="5">
        <v>3.89</v>
      </c>
      <c r="J34" s="16">
        <f aca="true" t="shared" si="8" ref="J34:J46">I34/1</f>
        <v>3.89</v>
      </c>
      <c r="K34" s="20" t="s">
        <v>38</v>
      </c>
      <c r="L34" s="5">
        <v>2.1</v>
      </c>
      <c r="M34" s="16">
        <f aca="true" t="shared" si="9" ref="M34:M46">L34/1</f>
        <v>2.1</v>
      </c>
      <c r="N34" s="20" t="s">
        <v>38</v>
      </c>
      <c r="O34" s="5">
        <v>7.4</v>
      </c>
      <c r="P34" s="16">
        <f aca="true" t="shared" si="10" ref="P34:P46">O34/1</f>
        <v>7.4</v>
      </c>
      <c r="Q34" s="20" t="s">
        <v>38</v>
      </c>
      <c r="R34" s="5">
        <v>5.36</v>
      </c>
      <c r="S34" s="16">
        <f aca="true" t="shared" si="11" ref="S34:S46">R34/1</f>
        <v>5.36</v>
      </c>
      <c r="V34" s="30"/>
      <c r="W34" s="4"/>
      <c r="Y34" s="88">
        <f t="shared" si="0"/>
        <v>0</v>
      </c>
      <c r="Z34" s="88">
        <f t="shared" si="1"/>
        <v>0</v>
      </c>
      <c r="AA34" s="89">
        <f t="shared" si="2"/>
        <v>0</v>
      </c>
      <c r="AB34" s="89">
        <f t="shared" si="3"/>
        <v>0</v>
      </c>
      <c r="AC34" s="30">
        <f t="shared" si="4"/>
        <v>0</v>
      </c>
      <c r="AD34" s="30">
        <f t="shared" si="5"/>
        <v>0</v>
      </c>
    </row>
    <row r="35" spans="1:30" s="28" customFormat="1" ht="15.75">
      <c r="A35" s="40" t="s">
        <v>63</v>
      </c>
      <c r="B35" s="15" t="s">
        <v>38</v>
      </c>
      <c r="C35" s="7">
        <v>0.87</v>
      </c>
      <c r="D35" s="48">
        <f t="shared" si="6"/>
        <v>0.87</v>
      </c>
      <c r="E35" s="19" t="s">
        <v>38</v>
      </c>
      <c r="F35" s="5">
        <v>0.85</v>
      </c>
      <c r="G35" s="16">
        <f t="shared" si="7"/>
        <v>0.85</v>
      </c>
      <c r="H35" s="19" t="s">
        <v>38</v>
      </c>
      <c r="I35" s="5">
        <v>1.05</v>
      </c>
      <c r="J35" s="16">
        <f t="shared" si="8"/>
        <v>1.05</v>
      </c>
      <c r="K35" s="19" t="s">
        <v>38</v>
      </c>
      <c r="L35" s="5">
        <v>1.2</v>
      </c>
      <c r="M35" s="16">
        <f t="shared" si="9"/>
        <v>1.2</v>
      </c>
      <c r="N35" s="19" t="s">
        <v>38</v>
      </c>
      <c r="O35" s="5">
        <v>1.3</v>
      </c>
      <c r="P35" s="16">
        <f t="shared" si="10"/>
        <v>1.3</v>
      </c>
      <c r="Q35" s="19" t="s">
        <v>38</v>
      </c>
      <c r="R35" s="5">
        <v>0.9</v>
      </c>
      <c r="S35" s="16">
        <f t="shared" si="11"/>
        <v>0.9</v>
      </c>
      <c r="V35" s="30" t="s">
        <v>36</v>
      </c>
      <c r="W35" s="4"/>
      <c r="Y35" s="88">
        <f t="shared" si="0"/>
        <v>0</v>
      </c>
      <c r="Z35" s="88">
        <f t="shared" si="1"/>
        <v>0</v>
      </c>
      <c r="AA35" s="89">
        <f t="shared" si="2"/>
        <v>0</v>
      </c>
      <c r="AB35" s="89">
        <f t="shared" si="3"/>
        <v>0</v>
      </c>
      <c r="AC35" s="30">
        <f t="shared" si="4"/>
        <v>0</v>
      </c>
      <c r="AD35" s="30">
        <f t="shared" si="5"/>
        <v>0</v>
      </c>
    </row>
    <row r="36" spans="1:30" s="28" customFormat="1" ht="15.75">
      <c r="A36" s="40" t="s">
        <v>64</v>
      </c>
      <c r="B36" s="32" t="s">
        <v>38</v>
      </c>
      <c r="C36" s="24">
        <v>0.8</v>
      </c>
      <c r="D36" s="51">
        <f t="shared" si="6"/>
        <v>0.8</v>
      </c>
      <c r="E36" s="25" t="s">
        <v>38</v>
      </c>
      <c r="F36" s="26">
        <v>0.92</v>
      </c>
      <c r="G36" s="27">
        <f t="shared" si="7"/>
        <v>0.92</v>
      </c>
      <c r="H36" s="25" t="s">
        <v>38</v>
      </c>
      <c r="I36" s="26">
        <v>1.05</v>
      </c>
      <c r="J36" s="27">
        <f t="shared" si="8"/>
        <v>1.05</v>
      </c>
      <c r="K36" s="25" t="s">
        <v>38</v>
      </c>
      <c r="L36" s="26">
        <v>1.99</v>
      </c>
      <c r="M36" s="27">
        <f t="shared" si="9"/>
        <v>1.99</v>
      </c>
      <c r="N36" s="25" t="s">
        <v>38</v>
      </c>
      <c r="O36" s="26">
        <v>3.55</v>
      </c>
      <c r="P36" s="27">
        <f t="shared" si="10"/>
        <v>3.55</v>
      </c>
      <c r="Q36" s="25" t="s">
        <v>38</v>
      </c>
      <c r="R36" s="26">
        <v>0.78</v>
      </c>
      <c r="S36" s="27">
        <f t="shared" si="11"/>
        <v>0.78</v>
      </c>
      <c r="V36" s="30"/>
      <c r="W36" s="4"/>
      <c r="Y36" s="88">
        <f t="shared" si="0"/>
        <v>0</v>
      </c>
      <c r="Z36" s="88">
        <f t="shared" si="1"/>
        <v>0</v>
      </c>
      <c r="AA36" s="89">
        <f t="shared" si="2"/>
        <v>0</v>
      </c>
      <c r="AB36" s="89">
        <f t="shared" si="3"/>
        <v>0</v>
      </c>
      <c r="AC36" s="30">
        <f t="shared" si="4"/>
        <v>0</v>
      </c>
      <c r="AD36" s="30">
        <f t="shared" si="5"/>
        <v>0</v>
      </c>
    </row>
    <row r="37" spans="1:30" s="28" customFormat="1" ht="16.5" customHeight="1">
      <c r="A37" s="40" t="s">
        <v>65</v>
      </c>
      <c r="B37" s="32" t="s">
        <v>38</v>
      </c>
      <c r="C37" s="24">
        <v>1.01</v>
      </c>
      <c r="D37" s="51">
        <f t="shared" si="6"/>
        <v>1.01</v>
      </c>
      <c r="E37" s="25" t="s">
        <v>38</v>
      </c>
      <c r="F37" s="26">
        <v>1.81</v>
      </c>
      <c r="G37" s="27">
        <f t="shared" si="7"/>
        <v>1.81</v>
      </c>
      <c r="H37" s="25" t="s">
        <v>38</v>
      </c>
      <c r="I37" s="26">
        <v>1.61</v>
      </c>
      <c r="J37" s="27">
        <f t="shared" si="8"/>
        <v>1.61</v>
      </c>
      <c r="K37" s="25" t="s">
        <v>38</v>
      </c>
      <c r="L37" s="26">
        <v>1.54</v>
      </c>
      <c r="M37" s="27">
        <f t="shared" si="9"/>
        <v>1.54</v>
      </c>
      <c r="N37" s="25" t="s">
        <v>38</v>
      </c>
      <c r="O37" s="26">
        <v>1.85</v>
      </c>
      <c r="P37" s="27">
        <f t="shared" si="10"/>
        <v>1.85</v>
      </c>
      <c r="Q37" s="25" t="s">
        <v>38</v>
      </c>
      <c r="R37" s="26">
        <v>1.13</v>
      </c>
      <c r="S37" s="27">
        <f t="shared" si="11"/>
        <v>1.13</v>
      </c>
      <c r="V37" s="30"/>
      <c r="W37" s="4"/>
      <c r="Y37" s="88">
        <f t="shared" si="0"/>
        <v>0</v>
      </c>
      <c r="Z37" s="88">
        <f t="shared" si="1"/>
        <v>0</v>
      </c>
      <c r="AA37" s="89">
        <f t="shared" si="2"/>
        <v>0</v>
      </c>
      <c r="AB37" s="89">
        <f t="shared" si="3"/>
        <v>0</v>
      </c>
      <c r="AC37" s="30">
        <f t="shared" si="4"/>
        <v>0</v>
      </c>
      <c r="AD37" s="30">
        <f t="shared" si="5"/>
        <v>0</v>
      </c>
    </row>
    <row r="38" spans="1:30" s="28" customFormat="1" ht="15.75">
      <c r="A38" s="40" t="s">
        <v>66</v>
      </c>
      <c r="B38" s="32" t="s">
        <v>38</v>
      </c>
      <c r="C38" s="24">
        <v>3.49</v>
      </c>
      <c r="D38" s="51">
        <f t="shared" si="6"/>
        <v>3.49</v>
      </c>
      <c r="E38" s="25" t="s">
        <v>38</v>
      </c>
      <c r="F38" s="26">
        <v>2.64</v>
      </c>
      <c r="G38" s="27">
        <f t="shared" si="7"/>
        <v>2.64</v>
      </c>
      <c r="H38" s="25" t="s">
        <v>38</v>
      </c>
      <c r="I38" s="26">
        <v>3.18</v>
      </c>
      <c r="J38" s="27">
        <f t="shared" si="8"/>
        <v>3.18</v>
      </c>
      <c r="K38" s="25" t="s">
        <v>38</v>
      </c>
      <c r="L38" s="26">
        <v>3.05</v>
      </c>
      <c r="M38" s="27">
        <f t="shared" si="9"/>
        <v>3.05</v>
      </c>
      <c r="N38" s="25" t="s">
        <v>38</v>
      </c>
      <c r="O38" s="26">
        <v>4.98</v>
      </c>
      <c r="P38" s="27">
        <f t="shared" si="10"/>
        <v>4.98</v>
      </c>
      <c r="Q38" s="25" t="s">
        <v>38</v>
      </c>
      <c r="R38" s="26">
        <v>3.26</v>
      </c>
      <c r="S38" s="27">
        <f t="shared" si="11"/>
        <v>3.26</v>
      </c>
      <c r="V38" s="30" t="s">
        <v>152</v>
      </c>
      <c r="W38" s="4"/>
      <c r="Y38" s="88">
        <f aca="true" t="shared" si="12" ref="Y38:Y67">W38*D38</f>
        <v>0</v>
      </c>
      <c r="Z38" s="88">
        <f aca="true" t="shared" si="13" ref="Z38:Z67">W38*G38</f>
        <v>0</v>
      </c>
      <c r="AA38" s="89">
        <f aca="true" t="shared" si="14" ref="AA38:AA67">W38*J38</f>
        <v>0</v>
      </c>
      <c r="AB38" s="89">
        <f aca="true" t="shared" si="15" ref="AB38:AB67">W38*M38</f>
        <v>0</v>
      </c>
      <c r="AC38" s="30">
        <f t="shared" si="4"/>
        <v>0</v>
      </c>
      <c r="AD38" s="30">
        <f t="shared" si="5"/>
        <v>0</v>
      </c>
    </row>
    <row r="39" spans="1:30" s="28" customFormat="1" ht="25.5">
      <c r="A39" s="40" t="s">
        <v>17</v>
      </c>
      <c r="B39" s="32" t="s">
        <v>94</v>
      </c>
      <c r="C39" s="24">
        <v>0.81</v>
      </c>
      <c r="D39" s="51">
        <f t="shared" si="6"/>
        <v>0.81</v>
      </c>
      <c r="E39" s="25" t="s">
        <v>38</v>
      </c>
      <c r="F39" s="26">
        <v>0.61</v>
      </c>
      <c r="G39" s="27">
        <f t="shared" si="7"/>
        <v>0.61</v>
      </c>
      <c r="H39" s="32" t="s">
        <v>94</v>
      </c>
      <c r="I39" s="26">
        <v>0.79</v>
      </c>
      <c r="J39" s="27">
        <f t="shared" si="8"/>
        <v>0.79</v>
      </c>
      <c r="K39" s="25" t="s">
        <v>38</v>
      </c>
      <c r="L39" s="26">
        <v>0.68</v>
      </c>
      <c r="M39" s="27">
        <f t="shared" si="9"/>
        <v>0.68</v>
      </c>
      <c r="N39" s="25" t="s">
        <v>38</v>
      </c>
      <c r="O39" s="26">
        <v>0.7</v>
      </c>
      <c r="P39" s="27">
        <f t="shared" si="10"/>
        <v>0.7</v>
      </c>
      <c r="Q39" s="25" t="s">
        <v>38</v>
      </c>
      <c r="R39" s="26">
        <v>0.69</v>
      </c>
      <c r="S39" s="27">
        <f t="shared" si="11"/>
        <v>0.69</v>
      </c>
      <c r="V39" s="30"/>
      <c r="W39" s="4"/>
      <c r="Y39" s="88">
        <f t="shared" si="12"/>
        <v>0</v>
      </c>
      <c r="Z39" s="88">
        <f t="shared" si="13"/>
        <v>0</v>
      </c>
      <c r="AA39" s="89">
        <f t="shared" si="14"/>
        <v>0</v>
      </c>
      <c r="AB39" s="89">
        <f t="shared" si="15"/>
        <v>0</v>
      </c>
      <c r="AC39" s="30">
        <f t="shared" si="4"/>
        <v>0</v>
      </c>
      <c r="AD39" s="30">
        <f t="shared" si="5"/>
        <v>0</v>
      </c>
    </row>
    <row r="40" spans="1:30" s="28" customFormat="1" ht="15.75">
      <c r="A40" s="40" t="s">
        <v>5</v>
      </c>
      <c r="B40" s="32" t="s">
        <v>38</v>
      </c>
      <c r="C40" s="24">
        <v>8.05</v>
      </c>
      <c r="D40" s="51">
        <f t="shared" si="6"/>
        <v>8.05</v>
      </c>
      <c r="E40" s="25" t="s">
        <v>38</v>
      </c>
      <c r="F40" s="26">
        <v>1.86</v>
      </c>
      <c r="G40" s="27">
        <f t="shared" si="7"/>
        <v>1.86</v>
      </c>
      <c r="H40" s="25" t="s">
        <v>38</v>
      </c>
      <c r="I40" s="26">
        <v>2.49</v>
      </c>
      <c r="J40" s="27">
        <f t="shared" si="8"/>
        <v>2.49</v>
      </c>
      <c r="K40" s="25" t="s">
        <v>38</v>
      </c>
      <c r="L40" s="26">
        <v>2.3</v>
      </c>
      <c r="M40" s="27">
        <f t="shared" si="9"/>
        <v>2.3</v>
      </c>
      <c r="N40" s="25" t="s">
        <v>38</v>
      </c>
      <c r="O40" s="26">
        <v>14.2</v>
      </c>
      <c r="P40" s="27">
        <f t="shared" si="10"/>
        <v>14.2</v>
      </c>
      <c r="Q40" s="25" t="s">
        <v>38</v>
      </c>
      <c r="R40" s="62">
        <v>14.2</v>
      </c>
      <c r="S40" s="80">
        <f t="shared" si="11"/>
        <v>14.2</v>
      </c>
      <c r="V40" s="30"/>
      <c r="W40" s="4"/>
      <c r="Y40" s="88">
        <f t="shared" si="12"/>
        <v>0</v>
      </c>
      <c r="Z40" s="88">
        <f t="shared" si="13"/>
        <v>0</v>
      </c>
      <c r="AA40" s="89">
        <f t="shared" si="14"/>
        <v>0</v>
      </c>
      <c r="AB40" s="89">
        <f t="shared" si="15"/>
        <v>0</v>
      </c>
      <c r="AC40" s="30">
        <f t="shared" si="4"/>
        <v>0</v>
      </c>
      <c r="AD40" s="30">
        <f t="shared" si="5"/>
        <v>0</v>
      </c>
    </row>
    <row r="41" spans="1:30" s="28" customFormat="1" ht="15.75">
      <c r="A41" s="40" t="s">
        <v>11</v>
      </c>
      <c r="B41" s="32" t="s">
        <v>38</v>
      </c>
      <c r="C41" s="24">
        <v>5.46</v>
      </c>
      <c r="D41" s="51">
        <f t="shared" si="6"/>
        <v>5.46</v>
      </c>
      <c r="E41" s="25" t="s">
        <v>38</v>
      </c>
      <c r="F41" s="26">
        <v>1.7</v>
      </c>
      <c r="G41" s="27">
        <f t="shared" si="7"/>
        <v>1.7</v>
      </c>
      <c r="H41" s="25" t="s">
        <v>38</v>
      </c>
      <c r="I41" s="26">
        <v>3.18</v>
      </c>
      <c r="J41" s="27">
        <f t="shared" si="8"/>
        <v>3.18</v>
      </c>
      <c r="K41" s="25" t="s">
        <v>38</v>
      </c>
      <c r="L41" s="26">
        <v>6.08</v>
      </c>
      <c r="M41" s="27">
        <f t="shared" si="9"/>
        <v>6.08</v>
      </c>
      <c r="N41" s="25" t="s">
        <v>38</v>
      </c>
      <c r="O41" s="26">
        <v>6.4</v>
      </c>
      <c r="P41" s="27">
        <f t="shared" si="10"/>
        <v>6.4</v>
      </c>
      <c r="Q41" s="25" t="s">
        <v>38</v>
      </c>
      <c r="R41" s="26">
        <v>3.97</v>
      </c>
      <c r="S41" s="27">
        <f t="shared" si="11"/>
        <v>3.97</v>
      </c>
      <c r="V41" s="30"/>
      <c r="W41" s="4"/>
      <c r="Y41" s="88">
        <f t="shared" si="12"/>
        <v>0</v>
      </c>
      <c r="Z41" s="88">
        <f t="shared" si="13"/>
        <v>0</v>
      </c>
      <c r="AA41" s="89">
        <f t="shared" si="14"/>
        <v>0</v>
      </c>
      <c r="AB41" s="90">
        <f t="shared" si="15"/>
        <v>0</v>
      </c>
      <c r="AC41" s="30">
        <f t="shared" si="4"/>
        <v>0</v>
      </c>
      <c r="AD41" s="30">
        <f t="shared" si="5"/>
        <v>0</v>
      </c>
    </row>
    <row r="42" spans="1:30" s="28" customFormat="1" ht="15.75">
      <c r="A42" s="40" t="s">
        <v>27</v>
      </c>
      <c r="B42" s="32" t="s">
        <v>38</v>
      </c>
      <c r="C42" s="24">
        <v>0.95</v>
      </c>
      <c r="D42" s="51">
        <f t="shared" si="6"/>
        <v>0.95</v>
      </c>
      <c r="E42" s="25" t="s">
        <v>38</v>
      </c>
      <c r="F42" s="26">
        <v>1.03</v>
      </c>
      <c r="G42" s="27">
        <f t="shared" si="7"/>
        <v>1.03</v>
      </c>
      <c r="H42" s="25" t="s">
        <v>38</v>
      </c>
      <c r="I42" s="26">
        <v>1.27</v>
      </c>
      <c r="J42" s="27">
        <f t="shared" si="8"/>
        <v>1.27</v>
      </c>
      <c r="K42" s="25" t="s">
        <v>38</v>
      </c>
      <c r="L42" s="26">
        <v>1.65</v>
      </c>
      <c r="M42" s="27">
        <f t="shared" si="9"/>
        <v>1.65</v>
      </c>
      <c r="N42" s="25" t="s">
        <v>38</v>
      </c>
      <c r="O42" s="26">
        <v>1.7</v>
      </c>
      <c r="P42" s="27">
        <f t="shared" si="10"/>
        <v>1.7</v>
      </c>
      <c r="Q42" s="25" t="s">
        <v>38</v>
      </c>
      <c r="R42" s="26">
        <v>1.19</v>
      </c>
      <c r="S42" s="27">
        <f t="shared" si="11"/>
        <v>1.19</v>
      </c>
      <c r="V42" s="30"/>
      <c r="W42" s="4"/>
      <c r="Y42" s="88">
        <f t="shared" si="12"/>
        <v>0</v>
      </c>
      <c r="Z42" s="88">
        <f t="shared" si="13"/>
        <v>0</v>
      </c>
      <c r="AA42" s="89">
        <f t="shared" si="14"/>
        <v>0</v>
      </c>
      <c r="AB42" s="89">
        <f t="shared" si="15"/>
        <v>0</v>
      </c>
      <c r="AC42" s="30">
        <f t="shared" si="4"/>
        <v>0</v>
      </c>
      <c r="AD42" s="30">
        <f t="shared" si="5"/>
        <v>0</v>
      </c>
    </row>
    <row r="43" spans="1:30" s="28" customFormat="1" ht="15.75">
      <c r="A43" s="40" t="s">
        <v>18</v>
      </c>
      <c r="B43" s="32" t="s">
        <v>38</v>
      </c>
      <c r="C43" s="24">
        <v>2.59</v>
      </c>
      <c r="D43" s="51">
        <f t="shared" si="6"/>
        <v>2.59</v>
      </c>
      <c r="E43" s="25" t="s">
        <v>38</v>
      </c>
      <c r="F43" s="26">
        <v>2.38</v>
      </c>
      <c r="G43" s="27">
        <f t="shared" si="7"/>
        <v>2.38</v>
      </c>
      <c r="H43" s="25" t="s">
        <v>117</v>
      </c>
      <c r="I43" s="26">
        <v>2.47</v>
      </c>
      <c r="J43" s="27">
        <f t="shared" si="8"/>
        <v>2.47</v>
      </c>
      <c r="K43" s="25" t="s">
        <v>38</v>
      </c>
      <c r="L43" s="26">
        <v>3.4</v>
      </c>
      <c r="M43" s="27">
        <f t="shared" si="9"/>
        <v>3.4</v>
      </c>
      <c r="N43" s="25" t="s">
        <v>38</v>
      </c>
      <c r="O43" s="26">
        <v>3.03</v>
      </c>
      <c r="P43" s="27">
        <f t="shared" si="10"/>
        <v>3.03</v>
      </c>
      <c r="Q43" s="25" t="s">
        <v>38</v>
      </c>
      <c r="R43" s="26">
        <v>2.46</v>
      </c>
      <c r="S43" s="27">
        <f t="shared" si="11"/>
        <v>2.46</v>
      </c>
      <c r="V43" s="30"/>
      <c r="W43" s="4"/>
      <c r="Y43" s="88">
        <f t="shared" si="12"/>
        <v>0</v>
      </c>
      <c r="Z43" s="88">
        <f t="shared" si="13"/>
        <v>0</v>
      </c>
      <c r="AA43" s="89">
        <f t="shared" si="14"/>
        <v>0</v>
      </c>
      <c r="AB43" s="89">
        <f t="shared" si="15"/>
        <v>0</v>
      </c>
      <c r="AC43" s="30">
        <f t="shared" si="4"/>
        <v>0</v>
      </c>
      <c r="AD43" s="30">
        <f t="shared" si="5"/>
        <v>0</v>
      </c>
    </row>
    <row r="44" spans="1:30" s="28" customFormat="1" ht="15.75">
      <c r="A44" s="40" t="s">
        <v>19</v>
      </c>
      <c r="B44" s="32" t="s">
        <v>38</v>
      </c>
      <c r="C44" s="24">
        <v>2.39</v>
      </c>
      <c r="D44" s="51">
        <f t="shared" si="6"/>
        <v>2.39</v>
      </c>
      <c r="E44" s="25" t="s">
        <v>38</v>
      </c>
      <c r="F44" s="26">
        <v>1.84</v>
      </c>
      <c r="G44" s="27">
        <f t="shared" si="7"/>
        <v>1.84</v>
      </c>
      <c r="H44" s="25" t="s">
        <v>118</v>
      </c>
      <c r="I44" s="26">
        <v>1.78</v>
      </c>
      <c r="J44" s="27">
        <f t="shared" si="8"/>
        <v>1.78</v>
      </c>
      <c r="K44" s="25" t="s">
        <v>38</v>
      </c>
      <c r="L44" s="26">
        <v>1.7</v>
      </c>
      <c r="M44" s="27">
        <f t="shared" si="9"/>
        <v>1.7</v>
      </c>
      <c r="N44" s="25" t="s">
        <v>38</v>
      </c>
      <c r="O44" s="26">
        <v>1.95</v>
      </c>
      <c r="P44" s="27">
        <f t="shared" si="10"/>
        <v>1.95</v>
      </c>
      <c r="Q44" s="25" t="s">
        <v>38</v>
      </c>
      <c r="R44" s="26">
        <v>2</v>
      </c>
      <c r="S44" s="27">
        <f t="shared" si="11"/>
        <v>2</v>
      </c>
      <c r="V44" s="30"/>
      <c r="W44" s="4"/>
      <c r="Y44" s="88">
        <f t="shared" si="12"/>
        <v>0</v>
      </c>
      <c r="Z44" s="88">
        <f t="shared" si="13"/>
        <v>0</v>
      </c>
      <c r="AA44" s="89">
        <f t="shared" si="14"/>
        <v>0</v>
      </c>
      <c r="AB44" s="89">
        <f t="shared" si="15"/>
        <v>0</v>
      </c>
      <c r="AC44" s="30">
        <f t="shared" si="4"/>
        <v>0</v>
      </c>
      <c r="AD44" s="30">
        <f t="shared" si="5"/>
        <v>0</v>
      </c>
    </row>
    <row r="45" spans="1:30" s="28" customFormat="1" ht="15.75">
      <c r="A45" s="40" t="s">
        <v>67</v>
      </c>
      <c r="B45" s="32" t="s">
        <v>38</v>
      </c>
      <c r="C45" s="24">
        <v>2.59</v>
      </c>
      <c r="D45" s="51">
        <f t="shared" si="6"/>
        <v>2.59</v>
      </c>
      <c r="E45" s="25" t="s">
        <v>38</v>
      </c>
      <c r="F45" s="26">
        <v>2.69</v>
      </c>
      <c r="G45" s="27">
        <f t="shared" si="7"/>
        <v>2.69</v>
      </c>
      <c r="H45" s="25" t="s">
        <v>117</v>
      </c>
      <c r="I45" s="26">
        <v>2.37</v>
      </c>
      <c r="J45" s="27">
        <f t="shared" si="8"/>
        <v>2.37</v>
      </c>
      <c r="K45" s="25" t="s">
        <v>38</v>
      </c>
      <c r="L45" s="26">
        <v>3.4</v>
      </c>
      <c r="M45" s="27">
        <f t="shared" si="9"/>
        <v>3.4</v>
      </c>
      <c r="N45" s="25" t="s">
        <v>38</v>
      </c>
      <c r="O45" s="26">
        <v>3.25</v>
      </c>
      <c r="P45" s="27">
        <f t="shared" si="10"/>
        <v>3.25</v>
      </c>
      <c r="Q45" s="25" t="s">
        <v>38</v>
      </c>
      <c r="R45" s="26">
        <v>2.4</v>
      </c>
      <c r="S45" s="27">
        <f t="shared" si="11"/>
        <v>2.4</v>
      </c>
      <c r="V45" s="30"/>
      <c r="W45" s="4"/>
      <c r="Y45" s="88">
        <f t="shared" si="12"/>
        <v>0</v>
      </c>
      <c r="Z45" s="88">
        <f t="shared" si="13"/>
        <v>0</v>
      </c>
      <c r="AA45" s="91">
        <f t="shared" si="14"/>
        <v>0</v>
      </c>
      <c r="AB45" s="91">
        <f t="shared" si="15"/>
        <v>0</v>
      </c>
      <c r="AC45" s="30">
        <f t="shared" si="4"/>
        <v>0</v>
      </c>
      <c r="AD45" s="30">
        <f t="shared" si="5"/>
        <v>0</v>
      </c>
    </row>
    <row r="46" spans="1:30" s="28" customFormat="1" ht="15.75">
      <c r="A46" s="40" t="s">
        <v>20</v>
      </c>
      <c r="B46" s="32" t="s">
        <v>38</v>
      </c>
      <c r="C46" s="24">
        <v>32.45</v>
      </c>
      <c r="D46" s="51">
        <f t="shared" si="6"/>
        <v>32.45</v>
      </c>
      <c r="E46" s="25" t="s">
        <v>38</v>
      </c>
      <c r="F46" s="26">
        <v>31.31</v>
      </c>
      <c r="G46" s="27">
        <f t="shared" si="7"/>
        <v>31.31</v>
      </c>
      <c r="H46" s="25" t="s">
        <v>38</v>
      </c>
      <c r="I46" s="26">
        <v>34.5</v>
      </c>
      <c r="J46" s="27">
        <f t="shared" si="8"/>
        <v>34.5</v>
      </c>
      <c r="K46" s="25" t="s">
        <v>38</v>
      </c>
      <c r="L46" s="26">
        <v>39.9</v>
      </c>
      <c r="M46" s="27">
        <f t="shared" si="9"/>
        <v>39.9</v>
      </c>
      <c r="N46" s="25" t="s">
        <v>38</v>
      </c>
      <c r="O46" s="26">
        <v>40.55</v>
      </c>
      <c r="P46" s="27">
        <f t="shared" si="10"/>
        <v>40.55</v>
      </c>
      <c r="Q46" s="25" t="s">
        <v>38</v>
      </c>
      <c r="R46" s="26">
        <v>29.54</v>
      </c>
      <c r="S46" s="27">
        <f t="shared" si="11"/>
        <v>29.54</v>
      </c>
      <c r="V46" s="30"/>
      <c r="W46" s="4"/>
      <c r="Y46" s="88">
        <f t="shared" si="12"/>
        <v>0</v>
      </c>
      <c r="Z46" s="88">
        <f t="shared" si="13"/>
        <v>0</v>
      </c>
      <c r="AA46" s="89">
        <f t="shared" si="14"/>
        <v>0</v>
      </c>
      <c r="AB46" s="89">
        <f t="shared" si="15"/>
        <v>0</v>
      </c>
      <c r="AC46" s="30">
        <f t="shared" si="4"/>
        <v>0</v>
      </c>
      <c r="AD46" s="30">
        <f t="shared" si="5"/>
        <v>0</v>
      </c>
    </row>
    <row r="47" spans="1:30" s="28" customFormat="1" ht="38.25">
      <c r="A47" s="40" t="s">
        <v>21</v>
      </c>
      <c r="B47" s="14" t="s">
        <v>95</v>
      </c>
      <c r="C47" s="24">
        <v>16.72</v>
      </c>
      <c r="D47" s="51">
        <f>C47/16</f>
        <v>1.045</v>
      </c>
      <c r="E47" s="14" t="s">
        <v>101</v>
      </c>
      <c r="F47" s="26">
        <v>2.5</v>
      </c>
      <c r="G47" s="27">
        <f>F47/4</f>
        <v>0.625</v>
      </c>
      <c r="H47" s="14" t="s">
        <v>101</v>
      </c>
      <c r="I47" s="26">
        <v>2.36</v>
      </c>
      <c r="J47" s="27">
        <f>I47/4</f>
        <v>0.59</v>
      </c>
      <c r="K47" s="14" t="s">
        <v>123</v>
      </c>
      <c r="L47" s="26">
        <v>2.9</v>
      </c>
      <c r="M47" s="27">
        <f>L47/3</f>
        <v>0.9666666666666667</v>
      </c>
      <c r="N47" s="14" t="s">
        <v>103</v>
      </c>
      <c r="O47" s="26">
        <v>10.63</v>
      </c>
      <c r="P47" s="27">
        <f>O47/5</f>
        <v>2.1260000000000003</v>
      </c>
      <c r="Q47" s="14" t="s">
        <v>123</v>
      </c>
      <c r="R47" s="26">
        <v>3.56</v>
      </c>
      <c r="S47" s="27">
        <f>R47/3</f>
        <v>1.1866666666666668</v>
      </c>
      <c r="V47" s="30"/>
      <c r="W47" s="4"/>
      <c r="Y47" s="88">
        <f t="shared" si="12"/>
        <v>0</v>
      </c>
      <c r="Z47" s="88">
        <f t="shared" si="13"/>
        <v>0</v>
      </c>
      <c r="AA47" s="89">
        <f t="shared" si="14"/>
        <v>0</v>
      </c>
      <c r="AB47" s="89">
        <f t="shared" si="15"/>
        <v>0</v>
      </c>
      <c r="AC47" s="30">
        <f t="shared" si="4"/>
        <v>0</v>
      </c>
      <c r="AD47" s="30">
        <f t="shared" si="5"/>
        <v>0</v>
      </c>
    </row>
    <row r="48" spans="1:30" s="28" customFormat="1" ht="15.75">
      <c r="A48" s="40" t="s">
        <v>22</v>
      </c>
      <c r="B48" s="32" t="s">
        <v>38</v>
      </c>
      <c r="C48" s="24">
        <v>1.33</v>
      </c>
      <c r="D48" s="51">
        <f>C48/1</f>
        <v>1.33</v>
      </c>
      <c r="E48" s="25" t="s">
        <v>38</v>
      </c>
      <c r="F48" s="26">
        <v>1.07</v>
      </c>
      <c r="G48" s="27">
        <f>F48/1</f>
        <v>1.07</v>
      </c>
      <c r="H48" s="25" t="s">
        <v>38</v>
      </c>
      <c r="I48" s="26">
        <v>1.4</v>
      </c>
      <c r="J48" s="27">
        <f>I48/1</f>
        <v>1.4</v>
      </c>
      <c r="K48" s="25" t="s">
        <v>38</v>
      </c>
      <c r="L48" s="26">
        <v>1.9</v>
      </c>
      <c r="M48" s="27">
        <f>L48/1</f>
        <v>1.9</v>
      </c>
      <c r="N48" s="25" t="s">
        <v>38</v>
      </c>
      <c r="O48" s="26">
        <v>4.94</v>
      </c>
      <c r="P48" s="27">
        <f>O48/1</f>
        <v>4.94</v>
      </c>
      <c r="Q48" s="25" t="s">
        <v>38</v>
      </c>
      <c r="R48" s="26">
        <v>1.18</v>
      </c>
      <c r="S48" s="27">
        <f>R48/1</f>
        <v>1.18</v>
      </c>
      <c r="V48" s="30"/>
      <c r="W48" s="4"/>
      <c r="Y48" s="88">
        <f t="shared" si="12"/>
        <v>0</v>
      </c>
      <c r="Z48" s="88">
        <f t="shared" si="13"/>
        <v>0</v>
      </c>
      <c r="AA48" s="89">
        <f t="shared" si="14"/>
        <v>0</v>
      </c>
      <c r="AB48" s="89">
        <f t="shared" si="15"/>
        <v>0</v>
      </c>
      <c r="AC48" s="30">
        <f t="shared" si="4"/>
        <v>0</v>
      </c>
      <c r="AD48" s="30">
        <f t="shared" si="5"/>
        <v>0</v>
      </c>
    </row>
    <row r="49" spans="1:30" s="28" customFormat="1" ht="15.75">
      <c r="A49" s="40" t="s">
        <v>28</v>
      </c>
      <c r="B49" s="32" t="s">
        <v>33</v>
      </c>
      <c r="C49" s="24">
        <v>19.5</v>
      </c>
      <c r="D49" s="51">
        <f>C49/1</f>
        <v>19.5</v>
      </c>
      <c r="E49" s="32" t="s">
        <v>33</v>
      </c>
      <c r="F49" s="26">
        <v>41.53</v>
      </c>
      <c r="G49" s="27">
        <f>F49/1</f>
        <v>41.53</v>
      </c>
      <c r="H49" s="32" t="s">
        <v>33</v>
      </c>
      <c r="I49" s="26">
        <v>18.5</v>
      </c>
      <c r="J49" s="27">
        <f>I49/1</f>
        <v>18.5</v>
      </c>
      <c r="K49" s="32" t="s">
        <v>33</v>
      </c>
      <c r="L49" s="26">
        <v>22.8</v>
      </c>
      <c r="M49" s="27">
        <f>L49/1</f>
        <v>22.8</v>
      </c>
      <c r="N49" s="32" t="s">
        <v>33</v>
      </c>
      <c r="O49" s="62">
        <v>41.53</v>
      </c>
      <c r="P49" s="80">
        <f>O49/1</f>
        <v>41.53</v>
      </c>
      <c r="Q49" s="32" t="s">
        <v>33</v>
      </c>
      <c r="R49" s="62">
        <v>41.53</v>
      </c>
      <c r="S49" s="80">
        <f>R49/1</f>
        <v>41.53</v>
      </c>
      <c r="V49" s="30"/>
      <c r="W49" s="4"/>
      <c r="Y49" s="88">
        <f t="shared" si="12"/>
        <v>0</v>
      </c>
      <c r="Z49" s="88">
        <f t="shared" si="13"/>
        <v>0</v>
      </c>
      <c r="AA49" s="89">
        <f t="shared" si="14"/>
        <v>0</v>
      </c>
      <c r="AB49" s="89">
        <f t="shared" si="15"/>
        <v>0</v>
      </c>
      <c r="AC49" s="30">
        <f t="shared" si="4"/>
        <v>0</v>
      </c>
      <c r="AD49" s="30">
        <f t="shared" si="5"/>
        <v>0</v>
      </c>
    </row>
    <row r="50" spans="1:30" ht="25.5">
      <c r="A50" s="40" t="s">
        <v>68</v>
      </c>
      <c r="B50" s="32" t="s">
        <v>96</v>
      </c>
      <c r="C50" s="30">
        <v>0.89</v>
      </c>
      <c r="D50" s="51">
        <f>C50/1</f>
        <v>0.89</v>
      </c>
      <c r="E50" s="25" t="s">
        <v>38</v>
      </c>
      <c r="F50" s="30">
        <v>0.94</v>
      </c>
      <c r="G50" s="27">
        <f>F50/1</f>
        <v>0.94</v>
      </c>
      <c r="H50" s="32" t="s">
        <v>119</v>
      </c>
      <c r="I50" s="30">
        <v>18.6</v>
      </c>
      <c r="J50" s="55">
        <f>I50/12</f>
        <v>1.55</v>
      </c>
      <c r="K50" s="25" t="s">
        <v>38</v>
      </c>
      <c r="L50" s="30">
        <v>1.65</v>
      </c>
      <c r="M50" s="16">
        <f>L50/1</f>
        <v>1.65</v>
      </c>
      <c r="N50" s="32" t="s">
        <v>33</v>
      </c>
      <c r="O50" s="30">
        <v>2.46</v>
      </c>
      <c r="P50" s="55">
        <f>O50/1</f>
        <v>2.46</v>
      </c>
      <c r="Q50" s="25" t="s">
        <v>34</v>
      </c>
      <c r="R50" s="30">
        <v>3.03</v>
      </c>
      <c r="S50" s="55">
        <f>R50/100</f>
        <v>0.030299999999999997</v>
      </c>
      <c r="V50" s="35"/>
      <c r="W50" s="35"/>
      <c r="Y50" s="88">
        <f t="shared" si="12"/>
        <v>0</v>
      </c>
      <c r="Z50" s="88">
        <f t="shared" si="13"/>
        <v>0</v>
      </c>
      <c r="AA50" s="89">
        <f t="shared" si="14"/>
        <v>0</v>
      </c>
      <c r="AB50" s="89">
        <f t="shared" si="15"/>
        <v>0</v>
      </c>
      <c r="AC50" s="30">
        <f t="shared" si="4"/>
        <v>0</v>
      </c>
      <c r="AD50" s="35">
        <f t="shared" si="5"/>
        <v>0</v>
      </c>
    </row>
    <row r="51" spans="1:30" ht="25.5">
      <c r="A51" s="40" t="s">
        <v>69</v>
      </c>
      <c r="B51" s="32" t="s">
        <v>98</v>
      </c>
      <c r="C51" s="5">
        <v>3.5</v>
      </c>
      <c r="D51" s="51">
        <f>C51/100</f>
        <v>0.035</v>
      </c>
      <c r="E51" s="25" t="s">
        <v>38</v>
      </c>
      <c r="F51" s="30">
        <v>3.49</v>
      </c>
      <c r="G51" s="52">
        <f>F51/100</f>
        <v>0.0349</v>
      </c>
      <c r="H51" s="25" t="s">
        <v>34</v>
      </c>
      <c r="I51" s="30">
        <v>3.5</v>
      </c>
      <c r="J51" s="55">
        <f>I51/100</f>
        <v>0.035</v>
      </c>
      <c r="K51" s="25" t="s">
        <v>38</v>
      </c>
      <c r="L51" s="30">
        <v>1.39</v>
      </c>
      <c r="M51" s="16">
        <f>L51/1</f>
        <v>1.39</v>
      </c>
      <c r="N51" s="25" t="s">
        <v>34</v>
      </c>
      <c r="O51" s="30">
        <v>6.2</v>
      </c>
      <c r="P51" s="55">
        <f>O51/100</f>
        <v>0.062</v>
      </c>
      <c r="Q51" s="25" t="s">
        <v>34</v>
      </c>
      <c r="R51" s="30">
        <v>3.03</v>
      </c>
      <c r="S51" s="55">
        <f>R51/100</f>
        <v>0.030299999999999997</v>
      </c>
      <c r="V51" s="35"/>
      <c r="W51" s="35"/>
      <c r="Y51" s="88">
        <f t="shared" si="12"/>
        <v>0</v>
      </c>
      <c r="Z51" s="88">
        <f t="shared" si="13"/>
        <v>0</v>
      </c>
      <c r="AA51" s="89">
        <f t="shared" si="14"/>
        <v>0</v>
      </c>
      <c r="AB51" s="89">
        <f t="shared" si="15"/>
        <v>0</v>
      </c>
      <c r="AC51" s="30">
        <f t="shared" si="4"/>
        <v>0</v>
      </c>
      <c r="AD51" s="35">
        <f t="shared" si="5"/>
        <v>0</v>
      </c>
    </row>
    <row r="52" spans="1:30" ht="25.5">
      <c r="A52" s="93" t="s">
        <v>70</v>
      </c>
      <c r="B52" s="32" t="s">
        <v>97</v>
      </c>
      <c r="C52" s="94">
        <v>0.45</v>
      </c>
      <c r="D52" s="51">
        <f>C52/1</f>
        <v>0.45</v>
      </c>
      <c r="E52" s="32" t="s">
        <v>33</v>
      </c>
      <c r="F52" s="94">
        <v>2.37</v>
      </c>
      <c r="G52" s="27">
        <f>F52/1</f>
        <v>2.37</v>
      </c>
      <c r="H52" s="32" t="s">
        <v>119</v>
      </c>
      <c r="I52" s="94">
        <v>20.88</v>
      </c>
      <c r="J52" s="95">
        <f>I52/12</f>
        <v>1.74</v>
      </c>
      <c r="K52" s="32" t="s">
        <v>33</v>
      </c>
      <c r="L52" s="94">
        <v>1.65</v>
      </c>
      <c r="M52" s="27">
        <f>L52/1</f>
        <v>1.65</v>
      </c>
      <c r="N52" s="25" t="s">
        <v>34</v>
      </c>
      <c r="O52" s="94">
        <v>5.2</v>
      </c>
      <c r="P52" s="95">
        <f>O52/100</f>
        <v>0.052000000000000005</v>
      </c>
      <c r="Q52" s="25" t="s">
        <v>34</v>
      </c>
      <c r="R52" s="94">
        <v>3.03</v>
      </c>
      <c r="S52" s="95">
        <f>R52/100</f>
        <v>0.030299999999999997</v>
      </c>
      <c r="V52" s="35"/>
      <c r="W52" s="35"/>
      <c r="Y52" s="88">
        <f t="shared" si="12"/>
        <v>0</v>
      </c>
      <c r="Z52" s="88">
        <f t="shared" si="13"/>
        <v>0</v>
      </c>
      <c r="AA52" s="89">
        <f t="shared" si="14"/>
        <v>0</v>
      </c>
      <c r="AB52" s="89">
        <f t="shared" si="15"/>
        <v>0</v>
      </c>
      <c r="AC52" s="30"/>
      <c r="AD52" s="35"/>
    </row>
    <row r="53" spans="1:30" ht="15.75">
      <c r="A53" s="40"/>
      <c r="B53" s="15"/>
      <c r="C53" s="30"/>
      <c r="D53" s="100"/>
      <c r="E53" s="15"/>
      <c r="F53" s="30"/>
      <c r="G53" s="16"/>
      <c r="H53" s="15"/>
      <c r="I53" s="30"/>
      <c r="J53" s="55"/>
      <c r="K53" s="15"/>
      <c r="L53" s="30"/>
      <c r="M53" s="16"/>
      <c r="N53" s="19"/>
      <c r="O53" s="30"/>
      <c r="P53" s="55"/>
      <c r="Q53" s="19"/>
      <c r="R53" s="30"/>
      <c r="S53" s="55"/>
      <c r="V53" s="35"/>
      <c r="W53" s="35"/>
      <c r="Y53" s="88">
        <f t="shared" si="12"/>
        <v>0</v>
      </c>
      <c r="Z53" s="88">
        <f t="shared" si="13"/>
        <v>0</v>
      </c>
      <c r="AA53" s="89">
        <f t="shared" si="14"/>
        <v>0</v>
      </c>
      <c r="AB53" s="89">
        <f t="shared" si="15"/>
        <v>0</v>
      </c>
      <c r="AC53" s="30"/>
      <c r="AD53" s="35"/>
    </row>
    <row r="54" spans="1:30" ht="15.75">
      <c r="A54" s="40"/>
      <c r="B54" s="15"/>
      <c r="C54" s="30"/>
      <c r="D54" s="100"/>
      <c r="E54" s="15"/>
      <c r="F54" s="30"/>
      <c r="G54" s="16"/>
      <c r="H54" s="15"/>
      <c r="I54" s="30"/>
      <c r="J54" s="55"/>
      <c r="K54" s="15"/>
      <c r="L54" s="30"/>
      <c r="M54" s="16"/>
      <c r="N54" s="19"/>
      <c r="O54" s="30"/>
      <c r="P54" s="55"/>
      <c r="Q54" s="19"/>
      <c r="R54" s="30"/>
      <c r="S54" s="55"/>
      <c r="V54" s="35"/>
      <c r="W54" s="35"/>
      <c r="Y54" s="88">
        <f t="shared" si="12"/>
        <v>0</v>
      </c>
      <c r="Z54" s="88">
        <f t="shared" si="13"/>
        <v>0</v>
      </c>
      <c r="AA54" s="89">
        <f t="shared" si="14"/>
        <v>0</v>
      </c>
      <c r="AB54" s="89">
        <f t="shared" si="15"/>
        <v>0</v>
      </c>
      <c r="AC54" s="30"/>
      <c r="AD54" s="35"/>
    </row>
    <row r="55" spans="1:30" ht="15.75">
      <c r="A55" s="40" t="s">
        <v>154</v>
      </c>
      <c r="B55" s="15" t="s">
        <v>159</v>
      </c>
      <c r="C55" s="30">
        <v>11.2</v>
      </c>
      <c r="D55" s="100">
        <f>C55/16</f>
        <v>0.7</v>
      </c>
      <c r="E55" s="15"/>
      <c r="F55" s="105">
        <v>11.2</v>
      </c>
      <c r="G55" s="106">
        <f>F55/16</f>
        <v>0.7</v>
      </c>
      <c r="H55" s="15" t="s">
        <v>161</v>
      </c>
      <c r="I55" s="30">
        <v>2.59</v>
      </c>
      <c r="J55" s="100">
        <f>I55/5</f>
        <v>0.518</v>
      </c>
      <c r="K55" s="15" t="s">
        <v>163</v>
      </c>
      <c r="L55" s="30">
        <v>11.2</v>
      </c>
      <c r="M55" s="100">
        <f>L55/20</f>
        <v>0.5599999999999999</v>
      </c>
      <c r="N55" s="19"/>
      <c r="O55" s="30"/>
      <c r="P55" s="55"/>
      <c r="Q55" s="19"/>
      <c r="R55" s="30"/>
      <c r="S55" s="55"/>
      <c r="V55" s="35" t="s">
        <v>170</v>
      </c>
      <c r="W55" s="35"/>
      <c r="Y55" s="88">
        <f t="shared" si="12"/>
        <v>0</v>
      </c>
      <c r="Z55" s="88">
        <f t="shared" si="13"/>
        <v>0</v>
      </c>
      <c r="AA55" s="89">
        <f t="shared" si="14"/>
        <v>0</v>
      </c>
      <c r="AB55" s="89">
        <f t="shared" si="15"/>
        <v>0</v>
      </c>
      <c r="AC55" s="30"/>
      <c r="AD55" s="35"/>
    </row>
    <row r="56" spans="1:30" ht="15.75">
      <c r="A56" s="40" t="s">
        <v>155</v>
      </c>
      <c r="B56" s="15" t="s">
        <v>160</v>
      </c>
      <c r="C56" s="30">
        <v>49.45</v>
      </c>
      <c r="D56" s="100">
        <f>C56/25</f>
        <v>1.9780000000000002</v>
      </c>
      <c r="E56" s="15"/>
      <c r="F56" s="105">
        <v>49.45</v>
      </c>
      <c r="G56" s="106">
        <f>F56/25</f>
        <v>1.9780000000000002</v>
      </c>
      <c r="H56" s="15" t="s">
        <v>168</v>
      </c>
      <c r="I56" s="30">
        <v>12.48</v>
      </c>
      <c r="J56" s="100">
        <f>I56/12</f>
        <v>1.04</v>
      </c>
      <c r="K56" s="15" t="s">
        <v>164</v>
      </c>
      <c r="L56" s="30">
        <v>47.6</v>
      </c>
      <c r="M56" s="100">
        <f>L56/24</f>
        <v>1.9833333333333334</v>
      </c>
      <c r="N56" s="19"/>
      <c r="O56" s="30"/>
      <c r="P56" s="55"/>
      <c r="Q56" s="19"/>
      <c r="R56" s="30"/>
      <c r="S56" s="55"/>
      <c r="V56" s="35" t="s">
        <v>169</v>
      </c>
      <c r="W56" s="35"/>
      <c r="Y56" s="88">
        <f t="shared" si="12"/>
        <v>0</v>
      </c>
      <c r="Z56" s="88">
        <f t="shared" si="13"/>
        <v>0</v>
      </c>
      <c r="AA56" s="89">
        <f t="shared" si="14"/>
        <v>0</v>
      </c>
      <c r="AB56" s="89">
        <f t="shared" si="15"/>
        <v>0</v>
      </c>
      <c r="AC56" s="30"/>
      <c r="AD56" s="35"/>
    </row>
    <row r="57" spans="1:30" ht="15.75">
      <c r="A57" s="40" t="s">
        <v>153</v>
      </c>
      <c r="B57" s="15" t="s">
        <v>160</v>
      </c>
      <c r="C57" s="30">
        <v>63.25</v>
      </c>
      <c r="D57" s="100">
        <f>C57/25</f>
        <v>2.53</v>
      </c>
      <c r="E57" s="15"/>
      <c r="F57" s="105">
        <v>63.25</v>
      </c>
      <c r="G57" s="106">
        <f>F57/25</f>
        <v>2.53</v>
      </c>
      <c r="H57" s="15" t="s">
        <v>168</v>
      </c>
      <c r="I57" s="30">
        <v>13.8</v>
      </c>
      <c r="J57" s="100">
        <f>I57/12</f>
        <v>1.1500000000000001</v>
      </c>
      <c r="K57" s="15" t="s">
        <v>159</v>
      </c>
      <c r="L57" s="30">
        <v>30.8</v>
      </c>
      <c r="M57" s="100">
        <f>L57/20</f>
        <v>1.54</v>
      </c>
      <c r="N57" s="19"/>
      <c r="O57" s="30"/>
      <c r="P57" s="55"/>
      <c r="Q57" s="19"/>
      <c r="R57" s="30"/>
      <c r="S57" s="55"/>
      <c r="V57" s="35" t="s">
        <v>171</v>
      </c>
      <c r="W57" s="35"/>
      <c r="Y57" s="88">
        <f t="shared" si="12"/>
        <v>0</v>
      </c>
      <c r="Z57" s="88">
        <f t="shared" si="13"/>
        <v>0</v>
      </c>
      <c r="AA57" s="89">
        <f t="shared" si="14"/>
        <v>0</v>
      </c>
      <c r="AB57" s="89">
        <f t="shared" si="15"/>
        <v>0</v>
      </c>
      <c r="AC57" s="30"/>
      <c r="AD57" s="35"/>
    </row>
    <row r="58" spans="1:30" ht="31.5" customHeight="1">
      <c r="A58" s="40" t="s">
        <v>156</v>
      </c>
      <c r="B58" s="15" t="s">
        <v>121</v>
      </c>
      <c r="C58" s="30">
        <v>20.4</v>
      </c>
      <c r="D58" s="100">
        <f>C58/4.5</f>
        <v>4.533333333333333</v>
      </c>
      <c r="E58" s="15"/>
      <c r="F58" s="105">
        <v>20.4</v>
      </c>
      <c r="G58" s="106">
        <f>F58/4.5</f>
        <v>4.533333333333333</v>
      </c>
      <c r="H58" s="15" t="s">
        <v>112</v>
      </c>
      <c r="I58" s="30">
        <v>27</v>
      </c>
      <c r="J58" s="100">
        <f>I58/9</f>
        <v>3</v>
      </c>
      <c r="K58" s="15" t="s">
        <v>165</v>
      </c>
      <c r="L58" s="30">
        <v>2.8</v>
      </c>
      <c r="M58" s="100">
        <f>L58/0.75</f>
        <v>3.733333333333333</v>
      </c>
      <c r="N58" s="19"/>
      <c r="O58" s="30"/>
      <c r="P58" s="55"/>
      <c r="Q58" s="19"/>
      <c r="R58" s="30"/>
      <c r="S58" s="55"/>
      <c r="V58" s="104" t="s">
        <v>172</v>
      </c>
      <c r="W58" s="30"/>
      <c r="Y58" s="88">
        <f t="shared" si="12"/>
        <v>0</v>
      </c>
      <c r="Z58" s="88">
        <f t="shared" si="13"/>
        <v>0</v>
      </c>
      <c r="AA58" s="89">
        <f t="shared" si="14"/>
        <v>0</v>
      </c>
      <c r="AB58" s="89">
        <f t="shared" si="15"/>
        <v>0</v>
      </c>
      <c r="AC58" s="30"/>
      <c r="AD58" s="35"/>
    </row>
    <row r="59" spans="1:30" ht="38.25">
      <c r="A59" s="40" t="s">
        <v>157</v>
      </c>
      <c r="B59" s="15" t="s">
        <v>36</v>
      </c>
      <c r="C59" s="30">
        <v>3.3</v>
      </c>
      <c r="D59" s="100">
        <f>C59/10</f>
        <v>0.32999999999999996</v>
      </c>
      <c r="E59" s="15"/>
      <c r="F59" s="105">
        <v>3.3</v>
      </c>
      <c r="G59" s="106">
        <f>F59/10</f>
        <v>0.32999999999999996</v>
      </c>
      <c r="H59" s="15" t="s">
        <v>162</v>
      </c>
      <c r="I59" s="30">
        <v>0.49</v>
      </c>
      <c r="J59" s="100">
        <f>I59/3</f>
        <v>0.16333333333333333</v>
      </c>
      <c r="K59" s="15" t="s">
        <v>93</v>
      </c>
      <c r="L59" s="30">
        <v>0.35</v>
      </c>
      <c r="M59" s="100">
        <f>L59/3</f>
        <v>0.11666666666666665</v>
      </c>
      <c r="N59" s="19"/>
      <c r="O59" s="30"/>
      <c r="P59" s="55"/>
      <c r="Q59" s="19"/>
      <c r="R59" s="30"/>
      <c r="S59" s="55"/>
      <c r="V59" s="15" t="s">
        <v>162</v>
      </c>
      <c r="W59" s="30"/>
      <c r="Y59" s="88">
        <f t="shared" si="12"/>
        <v>0</v>
      </c>
      <c r="Z59" s="88">
        <f t="shared" si="13"/>
        <v>0</v>
      </c>
      <c r="AA59" s="89">
        <f t="shared" si="14"/>
        <v>0</v>
      </c>
      <c r="AB59" s="89">
        <f t="shared" si="15"/>
        <v>0</v>
      </c>
      <c r="AC59" s="30"/>
      <c r="AD59" s="35"/>
    </row>
    <row r="60" spans="1:30" ht="15.75">
      <c r="A60" s="40" t="s">
        <v>158</v>
      </c>
      <c r="B60" s="15"/>
      <c r="C60" s="30"/>
      <c r="D60" s="100"/>
      <c r="E60" s="15"/>
      <c r="F60" s="30"/>
      <c r="G60" s="16"/>
      <c r="H60" s="15"/>
      <c r="I60" s="30"/>
      <c r="J60" s="55"/>
      <c r="K60" s="15"/>
      <c r="L60" s="30"/>
      <c r="M60" s="16"/>
      <c r="N60" s="19"/>
      <c r="O60" s="30"/>
      <c r="P60" s="55"/>
      <c r="Q60" s="19"/>
      <c r="R60" s="30"/>
      <c r="S60" s="55"/>
      <c r="V60" s="35"/>
      <c r="W60" s="35"/>
      <c r="Y60" s="88">
        <f t="shared" si="12"/>
        <v>0</v>
      </c>
      <c r="Z60" s="88">
        <f t="shared" si="13"/>
        <v>0</v>
      </c>
      <c r="AA60" s="89">
        <f t="shared" si="14"/>
        <v>0</v>
      </c>
      <c r="AB60" s="89">
        <f t="shared" si="15"/>
        <v>0</v>
      </c>
      <c r="AC60" s="30"/>
      <c r="AD60" s="35"/>
    </row>
    <row r="61" spans="1:30" ht="15.75">
      <c r="A61" s="40"/>
      <c r="B61" s="15"/>
      <c r="C61" s="30"/>
      <c r="D61" s="100"/>
      <c r="E61" s="15"/>
      <c r="F61" s="30"/>
      <c r="G61" s="16"/>
      <c r="H61" s="15"/>
      <c r="I61" s="30"/>
      <c r="J61" s="55"/>
      <c r="K61" s="15"/>
      <c r="L61" s="30"/>
      <c r="M61" s="16"/>
      <c r="N61" s="19"/>
      <c r="O61" s="30"/>
      <c r="P61" s="55"/>
      <c r="Q61" s="19"/>
      <c r="R61" s="30"/>
      <c r="S61" s="55"/>
      <c r="V61" s="35"/>
      <c r="W61" s="35"/>
      <c r="Y61" s="88">
        <f t="shared" si="12"/>
        <v>0</v>
      </c>
      <c r="Z61" s="88">
        <f t="shared" si="13"/>
        <v>0</v>
      </c>
      <c r="AA61" s="89">
        <f t="shared" si="14"/>
        <v>0</v>
      </c>
      <c r="AB61" s="89">
        <f t="shared" si="15"/>
        <v>0</v>
      </c>
      <c r="AC61" s="30"/>
      <c r="AD61" s="35"/>
    </row>
    <row r="62" spans="1:30" ht="15.75">
      <c r="A62" s="40"/>
      <c r="B62" s="15"/>
      <c r="C62" s="30"/>
      <c r="D62" s="100"/>
      <c r="E62" s="15"/>
      <c r="F62" s="30"/>
      <c r="G62" s="16"/>
      <c r="H62" s="15"/>
      <c r="I62" s="30"/>
      <c r="J62" s="55"/>
      <c r="K62" s="15"/>
      <c r="L62" s="30"/>
      <c r="M62" s="16"/>
      <c r="N62" s="19"/>
      <c r="O62" s="30"/>
      <c r="P62" s="55"/>
      <c r="Q62" s="19"/>
      <c r="R62" s="30"/>
      <c r="S62" s="55"/>
      <c r="V62" s="35"/>
      <c r="W62" s="35"/>
      <c r="Y62" s="88">
        <f t="shared" si="12"/>
        <v>0</v>
      </c>
      <c r="Z62" s="88">
        <f t="shared" si="13"/>
        <v>0</v>
      </c>
      <c r="AA62" s="89">
        <f t="shared" si="14"/>
        <v>0</v>
      </c>
      <c r="AB62" s="89">
        <f t="shared" si="15"/>
        <v>0</v>
      </c>
      <c r="AC62" s="30"/>
      <c r="AD62" s="35"/>
    </row>
    <row r="63" spans="1:30" ht="15.75">
      <c r="A63" s="40"/>
      <c r="B63" s="15"/>
      <c r="C63" s="30"/>
      <c r="D63" s="100"/>
      <c r="E63" s="15"/>
      <c r="F63" s="30"/>
      <c r="G63" s="16"/>
      <c r="H63" s="15"/>
      <c r="I63" s="30"/>
      <c r="J63" s="55"/>
      <c r="K63" s="15"/>
      <c r="L63" s="30"/>
      <c r="M63" s="16"/>
      <c r="N63" s="19"/>
      <c r="O63" s="30"/>
      <c r="P63" s="55"/>
      <c r="Q63" s="19"/>
      <c r="R63" s="30"/>
      <c r="S63" s="55"/>
      <c r="V63" s="35"/>
      <c r="W63" s="35"/>
      <c r="Y63" s="88">
        <f t="shared" si="12"/>
        <v>0</v>
      </c>
      <c r="Z63" s="88">
        <f t="shared" si="13"/>
        <v>0</v>
      </c>
      <c r="AA63" s="89">
        <f t="shared" si="14"/>
        <v>0</v>
      </c>
      <c r="AB63" s="89">
        <f t="shared" si="15"/>
        <v>0</v>
      </c>
      <c r="AC63" s="30"/>
      <c r="AD63" s="35"/>
    </row>
    <row r="64" spans="1:30" ht="15.75">
      <c r="A64" s="40"/>
      <c r="B64" s="15"/>
      <c r="C64" s="30"/>
      <c r="D64" s="100"/>
      <c r="E64" s="15"/>
      <c r="F64" s="30"/>
      <c r="G64" s="16"/>
      <c r="H64" s="15"/>
      <c r="I64" s="30"/>
      <c r="J64" s="55"/>
      <c r="K64" s="15"/>
      <c r="L64" s="30"/>
      <c r="M64" s="16"/>
      <c r="N64" s="19"/>
      <c r="O64" s="30"/>
      <c r="P64" s="55"/>
      <c r="Q64" s="19"/>
      <c r="R64" s="30"/>
      <c r="S64" s="55"/>
      <c r="V64" s="35"/>
      <c r="W64" s="35"/>
      <c r="Y64" s="88">
        <f t="shared" si="12"/>
        <v>0</v>
      </c>
      <c r="Z64" s="88">
        <f t="shared" si="13"/>
        <v>0</v>
      </c>
      <c r="AA64" s="89">
        <f t="shared" si="14"/>
        <v>0</v>
      </c>
      <c r="AB64" s="89">
        <f t="shared" si="15"/>
        <v>0</v>
      </c>
      <c r="AC64" s="30"/>
      <c r="AD64" s="35"/>
    </row>
    <row r="65" spans="1:30" ht="15.75">
      <c r="A65" s="40"/>
      <c r="B65" s="15"/>
      <c r="C65" s="30"/>
      <c r="D65" s="100"/>
      <c r="E65" s="15"/>
      <c r="F65" s="30"/>
      <c r="G65" s="16"/>
      <c r="H65" s="15"/>
      <c r="I65" s="30"/>
      <c r="J65" s="55"/>
      <c r="K65" s="15"/>
      <c r="L65" s="30"/>
      <c r="M65" s="16"/>
      <c r="N65" s="19"/>
      <c r="O65" s="30"/>
      <c r="P65" s="55"/>
      <c r="Q65" s="19"/>
      <c r="R65" s="30"/>
      <c r="S65" s="55"/>
      <c r="V65" s="35"/>
      <c r="W65" s="35"/>
      <c r="Y65" s="88">
        <f t="shared" si="12"/>
        <v>0</v>
      </c>
      <c r="Z65" s="88">
        <f t="shared" si="13"/>
        <v>0</v>
      </c>
      <c r="AA65" s="89">
        <f t="shared" si="14"/>
        <v>0</v>
      </c>
      <c r="AB65" s="89">
        <f t="shared" si="15"/>
        <v>0</v>
      </c>
      <c r="AC65" s="30"/>
      <c r="AD65" s="35"/>
    </row>
    <row r="66" spans="1:30" ht="15.75">
      <c r="A66" s="40"/>
      <c r="B66" s="15"/>
      <c r="C66" s="30"/>
      <c r="D66" s="100"/>
      <c r="E66" s="15"/>
      <c r="F66" s="30"/>
      <c r="G66" s="16"/>
      <c r="H66" s="15"/>
      <c r="I66" s="30"/>
      <c r="J66" s="55"/>
      <c r="K66" s="15"/>
      <c r="L66" s="30"/>
      <c r="M66" s="16"/>
      <c r="N66" s="19"/>
      <c r="O66" s="30"/>
      <c r="P66" s="55"/>
      <c r="Q66" s="19"/>
      <c r="R66" s="30"/>
      <c r="S66" s="55"/>
      <c r="V66" s="35"/>
      <c r="W66" s="35"/>
      <c r="Y66" s="88">
        <f t="shared" si="12"/>
        <v>0</v>
      </c>
      <c r="Z66" s="88">
        <f t="shared" si="13"/>
        <v>0</v>
      </c>
      <c r="AA66" s="89">
        <f t="shared" si="14"/>
        <v>0</v>
      </c>
      <c r="AB66" s="89">
        <f t="shared" si="15"/>
        <v>0</v>
      </c>
      <c r="AC66" s="30"/>
      <c r="AD66" s="35"/>
    </row>
    <row r="67" spans="1:30" ht="16.5" thickBot="1">
      <c r="A67" s="96"/>
      <c r="B67" s="97"/>
      <c r="C67" s="98"/>
      <c r="D67" s="99"/>
      <c r="E67" s="97"/>
      <c r="F67" s="98"/>
      <c r="G67" s="101"/>
      <c r="H67" s="97"/>
      <c r="I67" s="98"/>
      <c r="J67" s="102"/>
      <c r="K67" s="97"/>
      <c r="L67" s="98"/>
      <c r="M67" s="101"/>
      <c r="N67" s="103"/>
      <c r="O67" s="98"/>
      <c r="P67" s="102"/>
      <c r="Q67" s="103"/>
      <c r="R67" s="98"/>
      <c r="S67" s="102"/>
      <c r="V67" s="35"/>
      <c r="W67" s="35"/>
      <c r="Y67" s="88">
        <f t="shared" si="12"/>
        <v>0</v>
      </c>
      <c r="Z67" s="88">
        <f t="shared" si="13"/>
        <v>0</v>
      </c>
      <c r="AA67" s="89">
        <f t="shared" si="14"/>
        <v>0</v>
      </c>
      <c r="AB67" s="89">
        <f t="shared" si="15"/>
        <v>0</v>
      </c>
      <c r="AC67" s="30">
        <f>W67*P67</f>
        <v>0</v>
      </c>
      <c r="AD67" s="35">
        <f>W67*S67</f>
        <v>0</v>
      </c>
    </row>
    <row r="68" spans="4:30" ht="12.75">
      <c r="D68" s="79">
        <f>SUM(D6:D67)</f>
        <v>129.25895000000003</v>
      </c>
      <c r="G68" s="79">
        <f>SUM(G6:G67)</f>
        <v>139.05963333333332</v>
      </c>
      <c r="J68" s="79">
        <f>SUM(J6:J67)</f>
        <v>116.98533333333334</v>
      </c>
      <c r="M68" s="79">
        <f>SUM(M6:M67)</f>
        <v>139.16399999999996</v>
      </c>
      <c r="P68" s="79">
        <f>SUM(P6:P67)</f>
        <v>197.438701754386</v>
      </c>
      <c r="S68" s="79">
        <f>SUM(S6:S67)</f>
        <v>144.67130000000003</v>
      </c>
      <c r="Y68" s="33">
        <f aca="true" t="shared" si="16" ref="Y68:AD68">SUM(Y6:Y67)</f>
        <v>418.59</v>
      </c>
      <c r="Z68" s="33">
        <f t="shared" si="16"/>
        <v>431.64</v>
      </c>
      <c r="AA68" s="33">
        <f t="shared" si="16"/>
        <v>400.15999999999997</v>
      </c>
      <c r="AB68" s="33">
        <f t="shared" si="16"/>
        <v>515.6800000000001</v>
      </c>
      <c r="AC68" s="33">
        <f t="shared" si="16"/>
        <v>713.4052631578948</v>
      </c>
      <c r="AD68" s="63">
        <f t="shared" si="16"/>
        <v>542.04</v>
      </c>
    </row>
    <row r="72" spans="17:19" ht="12.75">
      <c r="Q72" s="36"/>
      <c r="R72" s="36"/>
      <c r="S72" s="92"/>
    </row>
    <row r="73" spans="17:19" ht="12.75">
      <c r="Q73" s="36"/>
      <c r="R73" s="36"/>
      <c r="S73" s="92"/>
    </row>
    <row r="74" spans="17:19" ht="12.75">
      <c r="Q74" s="36"/>
      <c r="R74" s="36"/>
      <c r="S74" s="92"/>
    </row>
    <row r="75" spans="17:19" ht="12.75">
      <c r="Q75" s="36"/>
      <c r="R75" s="36"/>
      <c r="S75" s="92"/>
    </row>
    <row r="76" spans="17:19" ht="12.75">
      <c r="Q76" s="36"/>
      <c r="R76" s="36"/>
      <c r="S76" s="92"/>
    </row>
    <row r="77" spans="17:19" ht="12.75">
      <c r="Q77" s="36"/>
      <c r="R77" s="36"/>
      <c r="S77" s="36"/>
    </row>
  </sheetData>
  <sheetProtection/>
  <mergeCells count="15">
    <mergeCell ref="A2:S2"/>
    <mergeCell ref="AC4:AC5"/>
    <mergeCell ref="AB4:AB5"/>
    <mergeCell ref="Y4:Y5"/>
    <mergeCell ref="Z4:Z5"/>
    <mergeCell ref="V4:W5"/>
    <mergeCell ref="E4:G4"/>
    <mergeCell ref="H4:J4"/>
    <mergeCell ref="AA4:AA5"/>
    <mergeCell ref="K4:M4"/>
    <mergeCell ref="AD4:AD5"/>
    <mergeCell ref="A4:A5"/>
    <mergeCell ref="B4:D4"/>
    <mergeCell ref="N4:P4"/>
    <mergeCell ref="Q4:S4"/>
  </mergeCells>
  <printOptions horizontalCentered="1" verticalCentered="1"/>
  <pageMargins left="0.1968503937007874" right="0.1968503937007874" top="0.3937007874015748" bottom="0.7874015748031497" header="0.2362204724409449" footer="0.15748031496062992"/>
  <pageSetup fitToHeight="2" fitToWidth="2" horizontalDpi="600" verticalDpi="600" orientation="landscape" paperSize="8" scale="47" r:id="rId1"/>
  <rowBreaks count="1" manualBreakCount="1">
    <brk id="68" max="29" man="1"/>
  </rowBreaks>
  <colBreaks count="1" manualBreakCount="1">
    <brk id="19" max="67" man="1"/>
  </col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2:AD77"/>
  <sheetViews>
    <sheetView view="pageBreakPreview" zoomScale="75" zoomScaleNormal="90" zoomScaleSheetLayoutView="75" zoomScalePageLayoutView="0" workbookViewId="0" topLeftCell="A1">
      <pane xSplit="10" ySplit="2" topLeftCell="V45" activePane="bottomRight" state="frozen"/>
      <selection pane="topLeft" activeCell="A1" sqref="A1"/>
      <selection pane="topRight" activeCell="K1" sqref="K1"/>
      <selection pane="bottomLeft" activeCell="A3" sqref="A3"/>
      <selection pane="bottomRight" activeCell="W31" sqref="W31"/>
    </sheetView>
  </sheetViews>
  <sheetFormatPr defaultColWidth="9.140625" defaultRowHeight="12.75"/>
  <cols>
    <col min="1" max="1" width="69.421875" style="0" customWidth="1"/>
    <col min="2" max="2" width="16.28125" style="0" customWidth="1"/>
    <col min="3" max="3" width="13.140625" style="0" customWidth="1"/>
    <col min="4" max="4" width="12.28125" style="0" customWidth="1"/>
    <col min="5" max="5" width="24.57421875" style="0" customWidth="1"/>
    <col min="6" max="6" width="8.8515625" style="0" customWidth="1"/>
    <col min="7" max="7" width="10.00390625" style="0" customWidth="1"/>
    <col min="8" max="8" width="16.8515625" style="0" customWidth="1"/>
    <col min="9" max="9" width="11.28125" style="0" customWidth="1"/>
    <col min="10" max="10" width="10.57421875" style="0" customWidth="1"/>
    <col min="11" max="11" width="17.8515625" style="0" customWidth="1"/>
    <col min="12" max="12" width="10.57421875" style="0" customWidth="1"/>
    <col min="13" max="13" width="11.00390625" style="0" customWidth="1"/>
    <col min="14" max="14" width="17.8515625" style="0" customWidth="1"/>
    <col min="15" max="15" width="11.00390625" style="0" customWidth="1"/>
    <col min="16" max="16" width="10.421875" style="0" customWidth="1"/>
    <col min="17" max="17" width="17.57421875" style="0" customWidth="1"/>
    <col min="18" max="18" width="10.28125" style="0" customWidth="1"/>
    <col min="19" max="19" width="10.8515625" style="0" customWidth="1"/>
    <col min="20" max="20" width="13.8515625" style="0" customWidth="1"/>
    <col min="21" max="21" width="16.7109375" style="0" customWidth="1"/>
    <col min="22" max="22" width="16.28125" style="0" customWidth="1"/>
    <col min="25" max="25" width="11.421875" style="0" bestFit="1" customWidth="1"/>
    <col min="26" max="26" width="14.00390625" style="0" customWidth="1"/>
    <col min="27" max="27" width="11.421875" style="0" bestFit="1" customWidth="1"/>
    <col min="28" max="28" width="13.140625" style="0" bestFit="1" customWidth="1"/>
    <col min="29" max="29" width="11.00390625" style="0" bestFit="1" customWidth="1"/>
    <col min="30" max="30" width="11.00390625" style="0" customWidth="1"/>
  </cols>
  <sheetData>
    <row r="1" ht="13.5" thickBot="1"/>
    <row r="2" spans="1:19" ht="18.75" thickBot="1">
      <c r="A2" s="209" t="s">
        <v>99</v>
      </c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1"/>
    </row>
    <row r="3" ht="13.5" thickBot="1"/>
    <row r="4" spans="1:30" ht="15.75" customHeight="1">
      <c r="A4" s="218" t="s">
        <v>0</v>
      </c>
      <c r="B4" s="220" t="s">
        <v>29</v>
      </c>
      <c r="C4" s="221"/>
      <c r="D4" s="222"/>
      <c r="E4" s="228" t="s">
        <v>39</v>
      </c>
      <c r="F4" s="229"/>
      <c r="G4" s="230"/>
      <c r="H4" s="231" t="s">
        <v>76</v>
      </c>
      <c r="I4" s="232"/>
      <c r="J4" s="233"/>
      <c r="K4" s="236" t="s">
        <v>44</v>
      </c>
      <c r="L4" s="237"/>
      <c r="M4" s="238"/>
      <c r="N4" s="239" t="s">
        <v>77</v>
      </c>
      <c r="O4" s="240"/>
      <c r="P4" s="241"/>
      <c r="Q4" s="223" t="s">
        <v>78</v>
      </c>
      <c r="R4" s="224"/>
      <c r="S4" s="225"/>
      <c r="T4" s="10"/>
      <c r="V4" s="216" t="s">
        <v>1</v>
      </c>
      <c r="W4" s="216"/>
      <c r="Y4" s="212" t="s">
        <v>57</v>
      </c>
      <c r="Z4" s="214" t="s">
        <v>135</v>
      </c>
      <c r="AA4" s="226" t="s">
        <v>134</v>
      </c>
      <c r="AB4" s="234" t="s">
        <v>56</v>
      </c>
      <c r="AC4" s="235" t="s">
        <v>139</v>
      </c>
      <c r="AD4" s="217" t="s">
        <v>138</v>
      </c>
    </row>
    <row r="5" spans="1:30" ht="18.75" customHeight="1">
      <c r="A5" s="219"/>
      <c r="B5" s="64" t="s">
        <v>2</v>
      </c>
      <c r="C5" s="65" t="s">
        <v>3</v>
      </c>
      <c r="D5" s="66" t="s">
        <v>4</v>
      </c>
      <c r="E5" s="67" t="s">
        <v>2</v>
      </c>
      <c r="F5" s="68" t="s">
        <v>3</v>
      </c>
      <c r="G5" s="69" t="s">
        <v>4</v>
      </c>
      <c r="H5" s="70" t="s">
        <v>2</v>
      </c>
      <c r="I5" s="71" t="s">
        <v>3</v>
      </c>
      <c r="J5" s="72" t="s">
        <v>4</v>
      </c>
      <c r="K5" s="73" t="s">
        <v>2</v>
      </c>
      <c r="L5" s="74" t="s">
        <v>3</v>
      </c>
      <c r="M5" s="75" t="s">
        <v>4</v>
      </c>
      <c r="N5" s="82" t="s">
        <v>2</v>
      </c>
      <c r="O5" s="83" t="s">
        <v>3</v>
      </c>
      <c r="P5" s="84" t="s">
        <v>4</v>
      </c>
      <c r="Q5" s="76" t="s">
        <v>2</v>
      </c>
      <c r="R5" s="77" t="s">
        <v>3</v>
      </c>
      <c r="S5" s="78" t="s">
        <v>4</v>
      </c>
      <c r="T5" s="11"/>
      <c r="V5" s="216"/>
      <c r="W5" s="216"/>
      <c r="Y5" s="213"/>
      <c r="Z5" s="215"/>
      <c r="AA5" s="226"/>
      <c r="AB5" s="234"/>
      <c r="AC5" s="235"/>
      <c r="AD5" s="217"/>
    </row>
    <row r="6" spans="1:30" s="28" customFormat="1" ht="23.25" customHeight="1">
      <c r="A6" s="40" t="s">
        <v>30</v>
      </c>
      <c r="B6" s="13" t="s">
        <v>105</v>
      </c>
      <c r="C6" s="1">
        <v>26.8</v>
      </c>
      <c r="D6" s="45">
        <f>C6/20</f>
        <v>1.34</v>
      </c>
      <c r="E6" s="14" t="s">
        <v>100</v>
      </c>
      <c r="F6" s="2">
        <v>1.38</v>
      </c>
      <c r="G6" s="12">
        <f>F6/1</f>
        <v>1.38</v>
      </c>
      <c r="H6" s="13" t="s">
        <v>108</v>
      </c>
      <c r="I6" s="1">
        <v>16.2</v>
      </c>
      <c r="J6" s="12">
        <f>I6/12</f>
        <v>1.3499999999999999</v>
      </c>
      <c r="K6" s="13" t="s">
        <v>45</v>
      </c>
      <c r="L6" s="1">
        <v>27</v>
      </c>
      <c r="M6" s="12">
        <f>L6/20</f>
        <v>1.35</v>
      </c>
      <c r="N6" s="15" t="s">
        <v>47</v>
      </c>
      <c r="O6" s="1">
        <v>18.24</v>
      </c>
      <c r="P6" s="12">
        <f>O6/9</f>
        <v>2.0266666666666664</v>
      </c>
      <c r="Q6" s="13" t="s">
        <v>45</v>
      </c>
      <c r="R6" s="1">
        <v>30</v>
      </c>
      <c r="S6" s="12">
        <f>R6/20</f>
        <v>1.5</v>
      </c>
      <c r="T6" s="9"/>
      <c r="V6" s="3" t="s">
        <v>143</v>
      </c>
      <c r="W6" s="4"/>
      <c r="Y6" s="88">
        <f aca="true" t="shared" si="0" ref="Y6:Y37">W6*D6</f>
        <v>0</v>
      </c>
      <c r="Z6" s="88">
        <f aca="true" t="shared" si="1" ref="Z6:Z37">W6*G6</f>
        <v>0</v>
      </c>
      <c r="AA6" s="89">
        <f aca="true" t="shared" si="2" ref="AA6:AA37">W6*J6</f>
        <v>0</v>
      </c>
      <c r="AB6" s="89">
        <f aca="true" t="shared" si="3" ref="AB6:AB37">W6*M6</f>
        <v>0</v>
      </c>
      <c r="AC6" s="5">
        <f aca="true" t="shared" si="4" ref="AC6:AC51">W6*P6</f>
        <v>0</v>
      </c>
      <c r="AD6" s="30">
        <f aca="true" t="shared" si="5" ref="AD6:AD51">W6*S6</f>
        <v>0</v>
      </c>
    </row>
    <row r="7" spans="1:30" s="28" customFormat="1" ht="25.5">
      <c r="A7" s="40" t="s">
        <v>31</v>
      </c>
      <c r="B7" s="14" t="s">
        <v>106</v>
      </c>
      <c r="C7" s="1">
        <v>5.6</v>
      </c>
      <c r="D7" s="46">
        <f>C7/16</f>
        <v>0.35</v>
      </c>
      <c r="E7" s="14" t="s">
        <v>100</v>
      </c>
      <c r="F7" s="5">
        <v>0.33</v>
      </c>
      <c r="G7" s="16">
        <f>F7/1</f>
        <v>0.33</v>
      </c>
      <c r="H7" s="14" t="s">
        <v>109</v>
      </c>
      <c r="I7" s="1">
        <v>4.56</v>
      </c>
      <c r="J7" s="12">
        <f>I7/12</f>
        <v>0.37999999999999995</v>
      </c>
      <c r="K7" s="13" t="s">
        <v>45</v>
      </c>
      <c r="L7" s="1">
        <v>7.6</v>
      </c>
      <c r="M7" s="12">
        <f>L7/20</f>
        <v>0.38</v>
      </c>
      <c r="N7" s="13" t="s">
        <v>124</v>
      </c>
      <c r="O7" s="1">
        <v>5.88</v>
      </c>
      <c r="P7" s="12">
        <f>O7/12</f>
        <v>0.49</v>
      </c>
      <c r="Q7" s="13" t="s">
        <v>124</v>
      </c>
      <c r="R7" s="1">
        <v>5.88</v>
      </c>
      <c r="S7" s="12">
        <f>R7/12</f>
        <v>0.49</v>
      </c>
      <c r="T7" s="9"/>
      <c r="V7" s="3" t="s">
        <v>144</v>
      </c>
      <c r="W7" s="4"/>
      <c r="Y7" s="88">
        <f t="shared" si="0"/>
        <v>0</v>
      </c>
      <c r="Z7" s="88">
        <f t="shared" si="1"/>
        <v>0</v>
      </c>
      <c r="AA7" s="89">
        <f t="shared" si="2"/>
        <v>0</v>
      </c>
      <c r="AB7" s="89">
        <f t="shared" si="3"/>
        <v>0</v>
      </c>
      <c r="AC7" s="30">
        <f t="shared" si="4"/>
        <v>0</v>
      </c>
      <c r="AD7" s="30">
        <f t="shared" si="5"/>
        <v>0</v>
      </c>
    </row>
    <row r="8" spans="1:30" s="28" customFormat="1" ht="25.5">
      <c r="A8" s="40" t="s">
        <v>32</v>
      </c>
      <c r="B8" s="14" t="s">
        <v>107</v>
      </c>
      <c r="C8" s="1">
        <v>5.36</v>
      </c>
      <c r="D8" s="46">
        <f>C8/16</f>
        <v>0.335</v>
      </c>
      <c r="E8" s="14" t="s">
        <v>101</v>
      </c>
      <c r="F8" s="8">
        <v>0.82</v>
      </c>
      <c r="G8" s="18">
        <f>F8/4</f>
        <v>0.205</v>
      </c>
      <c r="H8" s="14" t="s">
        <v>107</v>
      </c>
      <c r="I8" s="1">
        <v>5.12</v>
      </c>
      <c r="J8" s="12">
        <f>I8/16</f>
        <v>0.32</v>
      </c>
      <c r="K8" s="15" t="s">
        <v>46</v>
      </c>
      <c r="L8" s="1">
        <v>5.6</v>
      </c>
      <c r="M8" s="12">
        <f>L8/16</f>
        <v>0.35</v>
      </c>
      <c r="N8" s="15" t="s">
        <v>125</v>
      </c>
      <c r="O8" s="1">
        <v>5.8</v>
      </c>
      <c r="P8" s="12">
        <f>O8/16</f>
        <v>0.3625</v>
      </c>
      <c r="Q8" s="15" t="s">
        <v>46</v>
      </c>
      <c r="R8" s="1">
        <v>6.08</v>
      </c>
      <c r="S8" s="12">
        <f>R8/16</f>
        <v>0.38</v>
      </c>
      <c r="T8" s="9"/>
      <c r="V8" s="3" t="s">
        <v>136</v>
      </c>
      <c r="W8" s="4">
        <v>48</v>
      </c>
      <c r="Y8" s="88">
        <f t="shared" si="0"/>
        <v>16.080000000000002</v>
      </c>
      <c r="Z8" s="88">
        <f t="shared" si="1"/>
        <v>9.84</v>
      </c>
      <c r="AA8" s="89">
        <f t="shared" si="2"/>
        <v>15.36</v>
      </c>
      <c r="AB8" s="89">
        <f t="shared" si="3"/>
        <v>16.799999999999997</v>
      </c>
      <c r="AC8" s="30">
        <f t="shared" si="4"/>
        <v>17.4</v>
      </c>
      <c r="AD8" s="30">
        <f t="shared" si="5"/>
        <v>18.240000000000002</v>
      </c>
    </row>
    <row r="9" spans="1:30" s="28" customFormat="1" ht="52.5" customHeight="1">
      <c r="A9" s="40" t="s">
        <v>71</v>
      </c>
      <c r="B9" s="15" t="s">
        <v>79</v>
      </c>
      <c r="C9" s="1">
        <v>13.2</v>
      </c>
      <c r="D9" s="46">
        <f>C9/9</f>
        <v>1.4666666666666666</v>
      </c>
      <c r="E9" s="14" t="s">
        <v>102</v>
      </c>
      <c r="F9" s="5">
        <v>1.58</v>
      </c>
      <c r="G9" s="16">
        <f>F9/1</f>
        <v>1.58</v>
      </c>
      <c r="H9" s="17" t="s">
        <v>110</v>
      </c>
      <c r="I9" s="53">
        <v>10.56</v>
      </c>
      <c r="J9" s="16">
        <f>I9/12</f>
        <v>0.88</v>
      </c>
      <c r="K9" s="15" t="s">
        <v>47</v>
      </c>
      <c r="L9" s="6">
        <v>16.2</v>
      </c>
      <c r="M9" s="16">
        <f>L9/9</f>
        <v>1.7999999999999998</v>
      </c>
      <c r="N9" s="13" t="s">
        <v>126</v>
      </c>
      <c r="O9" s="6">
        <v>23.13</v>
      </c>
      <c r="P9" s="16">
        <f>O9/9</f>
        <v>2.57</v>
      </c>
      <c r="Q9" s="15" t="s">
        <v>47</v>
      </c>
      <c r="R9" s="6">
        <v>15.48</v>
      </c>
      <c r="S9" s="16">
        <f>R9/9</f>
        <v>1.72</v>
      </c>
      <c r="T9" s="9"/>
      <c r="V9" s="3" t="s">
        <v>143</v>
      </c>
      <c r="W9" s="4"/>
      <c r="Y9" s="88">
        <f t="shared" si="0"/>
        <v>0</v>
      </c>
      <c r="Z9" s="88">
        <f t="shared" si="1"/>
        <v>0</v>
      </c>
      <c r="AA9" s="89">
        <f t="shared" si="2"/>
        <v>0</v>
      </c>
      <c r="AB9" s="89">
        <f t="shared" si="3"/>
        <v>0</v>
      </c>
      <c r="AC9" s="30">
        <f t="shared" si="4"/>
        <v>0</v>
      </c>
      <c r="AD9" s="30">
        <f t="shared" si="5"/>
        <v>0</v>
      </c>
    </row>
    <row r="10" spans="1:30" s="28" customFormat="1" ht="43.5" customHeight="1">
      <c r="A10" s="40" t="s">
        <v>58</v>
      </c>
      <c r="B10" s="14" t="s">
        <v>80</v>
      </c>
      <c r="C10" s="1">
        <v>15.48</v>
      </c>
      <c r="D10" s="46">
        <f>C10/12</f>
        <v>1.29</v>
      </c>
      <c r="E10" s="14" t="s">
        <v>102</v>
      </c>
      <c r="F10" s="5">
        <v>1.01</v>
      </c>
      <c r="G10" s="16">
        <f>F10/1</f>
        <v>1.01</v>
      </c>
      <c r="H10" s="17" t="s">
        <v>110</v>
      </c>
      <c r="I10" s="6">
        <v>9.36</v>
      </c>
      <c r="J10" s="16">
        <f>I10/12</f>
        <v>0.7799999999999999</v>
      </c>
      <c r="K10" s="14" t="s">
        <v>48</v>
      </c>
      <c r="L10" s="6">
        <v>19.2</v>
      </c>
      <c r="M10" s="16">
        <f>L10/12</f>
        <v>1.5999999999999999</v>
      </c>
      <c r="N10" s="13" t="s">
        <v>126</v>
      </c>
      <c r="O10" s="6">
        <v>25.56</v>
      </c>
      <c r="P10" s="16">
        <f>O10/9</f>
        <v>2.84</v>
      </c>
      <c r="Q10" s="14" t="s">
        <v>48</v>
      </c>
      <c r="R10" s="6">
        <v>22.08</v>
      </c>
      <c r="S10" s="16">
        <f>R10/12</f>
        <v>1.8399999999999999</v>
      </c>
      <c r="T10" s="9"/>
      <c r="V10" s="3"/>
      <c r="W10" s="4"/>
      <c r="Y10" s="88">
        <f t="shared" si="0"/>
        <v>0</v>
      </c>
      <c r="Z10" s="88">
        <f t="shared" si="1"/>
        <v>0</v>
      </c>
      <c r="AA10" s="89">
        <f t="shared" si="2"/>
        <v>0</v>
      </c>
      <c r="AB10" s="89">
        <f t="shared" si="3"/>
        <v>0</v>
      </c>
      <c r="AC10" s="30">
        <f t="shared" si="4"/>
        <v>0</v>
      </c>
      <c r="AD10" s="30">
        <f t="shared" si="5"/>
        <v>0</v>
      </c>
    </row>
    <row r="11" spans="1:30" s="28" customFormat="1" ht="55.5" customHeight="1">
      <c r="A11" s="40" t="s">
        <v>72</v>
      </c>
      <c r="B11" s="15" t="s">
        <v>81</v>
      </c>
      <c r="C11" s="6">
        <v>10.35</v>
      </c>
      <c r="D11" s="46">
        <f>C11/15</f>
        <v>0.69</v>
      </c>
      <c r="E11" s="14" t="s">
        <v>101</v>
      </c>
      <c r="F11" s="5">
        <v>1.43</v>
      </c>
      <c r="G11" s="16">
        <f>F11/4</f>
        <v>0.3575</v>
      </c>
      <c r="H11" s="15" t="s">
        <v>111</v>
      </c>
      <c r="I11" s="6">
        <v>8.4</v>
      </c>
      <c r="J11" s="16">
        <f>I11/20</f>
        <v>0.42000000000000004</v>
      </c>
      <c r="K11" s="15" t="s">
        <v>49</v>
      </c>
      <c r="L11" s="6">
        <v>14.4</v>
      </c>
      <c r="M11" s="16">
        <f>L11/12</f>
        <v>1.2</v>
      </c>
      <c r="N11" s="15" t="s">
        <v>127</v>
      </c>
      <c r="O11" s="6">
        <v>44.8</v>
      </c>
      <c r="P11" s="16">
        <f>O11/20</f>
        <v>2.2399999999999998</v>
      </c>
      <c r="Q11" s="15" t="s">
        <v>111</v>
      </c>
      <c r="R11" s="6">
        <v>16.52</v>
      </c>
      <c r="S11" s="16">
        <f>R11/20</f>
        <v>0.826</v>
      </c>
      <c r="T11" s="9"/>
      <c r="V11" s="3" t="s">
        <v>137</v>
      </c>
      <c r="W11" s="4"/>
      <c r="Y11" s="88">
        <f t="shared" si="0"/>
        <v>0</v>
      </c>
      <c r="Z11" s="88">
        <f t="shared" si="1"/>
        <v>0</v>
      </c>
      <c r="AA11" s="89">
        <f t="shared" si="2"/>
        <v>0</v>
      </c>
      <c r="AB11" s="89">
        <f t="shared" si="3"/>
        <v>0</v>
      </c>
      <c r="AC11" s="30">
        <f t="shared" si="4"/>
        <v>0</v>
      </c>
      <c r="AD11" s="30">
        <f t="shared" si="5"/>
        <v>0</v>
      </c>
    </row>
    <row r="12" spans="1:30" s="28" customFormat="1" ht="39.75" customHeight="1">
      <c r="A12" s="40" t="s">
        <v>59</v>
      </c>
      <c r="B12" s="15" t="s">
        <v>82</v>
      </c>
      <c r="C12" s="6">
        <v>12.8</v>
      </c>
      <c r="D12" s="46">
        <f>C12/12</f>
        <v>1.0666666666666667</v>
      </c>
      <c r="E12" s="14" t="s">
        <v>100</v>
      </c>
      <c r="F12" s="5">
        <v>0.77</v>
      </c>
      <c r="G12" s="16">
        <f>F12/1</f>
        <v>0.77</v>
      </c>
      <c r="H12" s="17" t="s">
        <v>110</v>
      </c>
      <c r="I12" s="6">
        <v>11.88</v>
      </c>
      <c r="J12" s="16">
        <f>I12/12</f>
        <v>0.9900000000000001</v>
      </c>
      <c r="K12" s="15" t="s">
        <v>120</v>
      </c>
      <c r="L12" s="6">
        <v>15.2</v>
      </c>
      <c r="M12" s="16">
        <f>L12/12</f>
        <v>1.2666666666666666</v>
      </c>
      <c r="N12" s="15" t="s">
        <v>128</v>
      </c>
      <c r="O12" s="6">
        <v>16.8</v>
      </c>
      <c r="P12" s="16">
        <f>O12/5.7</f>
        <v>2.9473684210526314</v>
      </c>
      <c r="Q12" s="15" t="s">
        <v>120</v>
      </c>
      <c r="R12" s="6">
        <v>15.2</v>
      </c>
      <c r="S12" s="16">
        <f>R12/12</f>
        <v>1.2666666666666666</v>
      </c>
      <c r="T12" s="9"/>
      <c r="V12" s="3" t="s">
        <v>144</v>
      </c>
      <c r="W12" s="4"/>
      <c r="Y12" s="88">
        <f t="shared" si="0"/>
        <v>0</v>
      </c>
      <c r="Z12" s="88">
        <f t="shared" si="1"/>
        <v>0</v>
      </c>
      <c r="AA12" s="89">
        <f t="shared" si="2"/>
        <v>0</v>
      </c>
      <c r="AB12" s="89">
        <f t="shared" si="3"/>
        <v>0</v>
      </c>
      <c r="AC12" s="30">
        <f t="shared" si="4"/>
        <v>0</v>
      </c>
      <c r="AD12" s="30">
        <f t="shared" si="5"/>
        <v>0</v>
      </c>
    </row>
    <row r="13" spans="1:30" s="28" customFormat="1" ht="36.75" customHeight="1">
      <c r="A13" s="40" t="s">
        <v>73</v>
      </c>
      <c r="B13" s="14" t="s">
        <v>84</v>
      </c>
      <c r="C13" s="6">
        <v>7.78</v>
      </c>
      <c r="D13" s="46">
        <f>C13/16</f>
        <v>0.48625</v>
      </c>
      <c r="E13" s="14" t="s">
        <v>101</v>
      </c>
      <c r="F13" s="8">
        <v>1.43</v>
      </c>
      <c r="G13" s="16">
        <f>F13/4</f>
        <v>0.3575</v>
      </c>
      <c r="H13" s="15" t="s">
        <v>111</v>
      </c>
      <c r="I13" s="6">
        <v>11.6</v>
      </c>
      <c r="J13" s="16">
        <f>I13/20</f>
        <v>0.58</v>
      </c>
      <c r="K13" s="15" t="s">
        <v>111</v>
      </c>
      <c r="L13" s="6">
        <v>13.2</v>
      </c>
      <c r="M13" s="16">
        <f>L13/20</f>
        <v>0.6599999999999999</v>
      </c>
      <c r="N13" s="15" t="s">
        <v>129</v>
      </c>
      <c r="O13" s="6">
        <v>41.58</v>
      </c>
      <c r="P13" s="16">
        <f>O13/24</f>
        <v>1.7325</v>
      </c>
      <c r="Q13" s="15" t="s">
        <v>111</v>
      </c>
      <c r="R13" s="6">
        <v>12.2</v>
      </c>
      <c r="S13" s="16">
        <f>R13/20</f>
        <v>0.61</v>
      </c>
      <c r="T13" s="9"/>
      <c r="V13" s="3" t="s">
        <v>148</v>
      </c>
      <c r="W13" s="4"/>
      <c r="Y13" s="88">
        <f t="shared" si="0"/>
        <v>0</v>
      </c>
      <c r="Z13" s="88">
        <f t="shared" si="1"/>
        <v>0</v>
      </c>
      <c r="AA13" s="89">
        <f t="shared" si="2"/>
        <v>0</v>
      </c>
      <c r="AB13" s="89">
        <f t="shared" si="3"/>
        <v>0</v>
      </c>
      <c r="AC13" s="30">
        <f t="shared" si="4"/>
        <v>0</v>
      </c>
      <c r="AD13" s="30">
        <f t="shared" si="5"/>
        <v>0</v>
      </c>
    </row>
    <row r="14" spans="1:30" s="28" customFormat="1" ht="35.25" customHeight="1">
      <c r="A14" s="40" t="s">
        <v>74</v>
      </c>
      <c r="B14" s="14" t="s">
        <v>85</v>
      </c>
      <c r="C14" s="6">
        <v>9.3</v>
      </c>
      <c r="D14" s="46">
        <f>C14/10</f>
        <v>0.93</v>
      </c>
      <c r="E14" s="14" t="s">
        <v>103</v>
      </c>
      <c r="F14" s="5">
        <v>10.23</v>
      </c>
      <c r="G14" s="16">
        <f>F14/5</f>
        <v>2.0460000000000003</v>
      </c>
      <c r="H14" s="15" t="s">
        <v>111</v>
      </c>
      <c r="I14" s="6">
        <v>17.8</v>
      </c>
      <c r="J14" s="16">
        <f>I14/20</f>
        <v>0.89</v>
      </c>
      <c r="K14" s="15" t="s">
        <v>111</v>
      </c>
      <c r="L14" s="6">
        <v>22.8</v>
      </c>
      <c r="M14" s="16">
        <f>L14/20</f>
        <v>1.1400000000000001</v>
      </c>
      <c r="N14" s="15" t="s">
        <v>130</v>
      </c>
      <c r="O14" s="6">
        <v>19.38</v>
      </c>
      <c r="P14" s="16">
        <f>O14/10</f>
        <v>1.938</v>
      </c>
      <c r="Q14" s="15" t="s">
        <v>111</v>
      </c>
      <c r="R14" s="6">
        <v>35.52</v>
      </c>
      <c r="S14" s="16">
        <f>R14/20</f>
        <v>1.7760000000000002</v>
      </c>
      <c r="T14" s="9"/>
      <c r="V14" s="3" t="s">
        <v>148</v>
      </c>
      <c r="W14" s="4"/>
      <c r="Y14" s="88">
        <f t="shared" si="0"/>
        <v>0</v>
      </c>
      <c r="Z14" s="88">
        <f t="shared" si="1"/>
        <v>0</v>
      </c>
      <c r="AA14" s="89">
        <f t="shared" si="2"/>
        <v>0</v>
      </c>
      <c r="AB14" s="89">
        <f t="shared" si="3"/>
        <v>0</v>
      </c>
      <c r="AC14" s="30">
        <f t="shared" si="4"/>
        <v>0</v>
      </c>
      <c r="AD14" s="30">
        <f t="shared" si="5"/>
        <v>0</v>
      </c>
    </row>
    <row r="15" spans="1:30" s="28" customFormat="1" ht="36.75" customHeight="1">
      <c r="A15" s="40" t="s">
        <v>60</v>
      </c>
      <c r="B15" s="15" t="s">
        <v>86</v>
      </c>
      <c r="C15" s="6">
        <v>18.84</v>
      </c>
      <c r="D15" s="46">
        <f>C15/12</f>
        <v>1.57</v>
      </c>
      <c r="E15" s="14" t="s">
        <v>102</v>
      </c>
      <c r="F15" s="5">
        <v>1.73</v>
      </c>
      <c r="G15" s="16">
        <f>F15/1</f>
        <v>1.73</v>
      </c>
      <c r="H15" s="15" t="s">
        <v>112</v>
      </c>
      <c r="I15" s="6">
        <v>11.88</v>
      </c>
      <c r="J15" s="16">
        <f>I15/9</f>
        <v>1.32</v>
      </c>
      <c r="K15" s="15" t="s">
        <v>121</v>
      </c>
      <c r="L15" s="6">
        <v>7.2</v>
      </c>
      <c r="M15" s="16">
        <f>L15/4.5</f>
        <v>1.6</v>
      </c>
      <c r="N15" s="13" t="s">
        <v>126</v>
      </c>
      <c r="O15" s="6">
        <v>20.52</v>
      </c>
      <c r="P15" s="16">
        <f>O15/9</f>
        <v>2.28</v>
      </c>
      <c r="Q15" s="15" t="s">
        <v>112</v>
      </c>
      <c r="R15" s="6">
        <v>16.8</v>
      </c>
      <c r="S15" s="16">
        <f>R15/9</f>
        <v>1.8666666666666667</v>
      </c>
      <c r="T15" s="9"/>
      <c r="V15" s="3" t="s">
        <v>166</v>
      </c>
      <c r="W15" s="4">
        <v>18</v>
      </c>
      <c r="Y15" s="88">
        <f t="shared" si="0"/>
        <v>28.26</v>
      </c>
      <c r="Z15" s="88">
        <f t="shared" si="1"/>
        <v>31.14</v>
      </c>
      <c r="AA15" s="89">
        <f t="shared" si="2"/>
        <v>23.76</v>
      </c>
      <c r="AB15" s="89">
        <f t="shared" si="3"/>
        <v>28.8</v>
      </c>
      <c r="AC15" s="30">
        <f t="shared" si="4"/>
        <v>41.04</v>
      </c>
      <c r="AD15" s="30">
        <f t="shared" si="5"/>
        <v>33.6</v>
      </c>
    </row>
    <row r="16" spans="1:30" s="28" customFormat="1" ht="35.25" customHeight="1">
      <c r="A16" s="40" t="s">
        <v>75</v>
      </c>
      <c r="B16" s="14" t="s">
        <v>87</v>
      </c>
      <c r="C16" s="6">
        <v>13.6</v>
      </c>
      <c r="D16" s="46">
        <f>C16/20</f>
        <v>0.6799999999999999</v>
      </c>
      <c r="E16" s="14" t="s">
        <v>103</v>
      </c>
      <c r="F16" s="5">
        <v>2.89</v>
      </c>
      <c r="G16" s="31">
        <f>F16/5</f>
        <v>0.5780000000000001</v>
      </c>
      <c r="H16" s="15" t="s">
        <v>111</v>
      </c>
      <c r="I16" s="6">
        <v>12.6</v>
      </c>
      <c r="J16" s="16">
        <f>I16/20</f>
        <v>0.63</v>
      </c>
      <c r="K16" s="15" t="s">
        <v>111</v>
      </c>
      <c r="L16" s="6">
        <v>15.6</v>
      </c>
      <c r="M16" s="16">
        <f>L16/20</f>
        <v>0.78</v>
      </c>
      <c r="N16" s="15" t="s">
        <v>130</v>
      </c>
      <c r="O16" s="6">
        <v>17.38</v>
      </c>
      <c r="P16" s="16">
        <f>O16/10</f>
        <v>1.738</v>
      </c>
      <c r="Q16" s="15" t="s">
        <v>111</v>
      </c>
      <c r="R16" s="6">
        <v>15.52</v>
      </c>
      <c r="S16" s="31">
        <f>R16/20</f>
        <v>0.776</v>
      </c>
      <c r="T16" s="9"/>
      <c r="V16" s="3" t="s">
        <v>137</v>
      </c>
      <c r="W16" s="4"/>
      <c r="Y16" s="88">
        <f t="shared" si="0"/>
        <v>0</v>
      </c>
      <c r="Z16" s="88">
        <f t="shared" si="1"/>
        <v>0</v>
      </c>
      <c r="AA16" s="89">
        <f t="shared" si="2"/>
        <v>0</v>
      </c>
      <c r="AB16" s="89">
        <f t="shared" si="3"/>
        <v>0</v>
      </c>
      <c r="AC16" s="30">
        <f t="shared" si="4"/>
        <v>0</v>
      </c>
      <c r="AD16" s="30">
        <f t="shared" si="5"/>
        <v>0</v>
      </c>
    </row>
    <row r="17" spans="1:30" s="28" customFormat="1" ht="25.5" customHeight="1">
      <c r="A17" s="40" t="s">
        <v>61</v>
      </c>
      <c r="B17" s="15" t="s">
        <v>33</v>
      </c>
      <c r="C17" s="6">
        <v>0.45</v>
      </c>
      <c r="D17" s="46">
        <f>C17/1</f>
        <v>0.45</v>
      </c>
      <c r="E17" s="15" t="s">
        <v>33</v>
      </c>
      <c r="F17" s="5">
        <v>0.49</v>
      </c>
      <c r="G17" s="31">
        <f>F17/1</f>
        <v>0.49</v>
      </c>
      <c r="H17" s="15" t="s">
        <v>33</v>
      </c>
      <c r="I17" s="6">
        <v>0.52</v>
      </c>
      <c r="J17" s="16">
        <f>I17/1</f>
        <v>0.52</v>
      </c>
      <c r="K17" s="57" t="s">
        <v>122</v>
      </c>
      <c r="L17" s="58">
        <v>8.64</v>
      </c>
      <c r="M17" s="59">
        <f>L17/12</f>
        <v>0.7200000000000001</v>
      </c>
      <c r="N17" s="17" t="s">
        <v>33</v>
      </c>
      <c r="O17" s="6">
        <v>0.7</v>
      </c>
      <c r="P17" s="16">
        <f>O17/1</f>
        <v>0.7</v>
      </c>
      <c r="Q17" s="17" t="s">
        <v>132</v>
      </c>
      <c r="R17" s="6">
        <v>5.3</v>
      </c>
      <c r="S17" s="16">
        <f>R17/10</f>
        <v>0.53</v>
      </c>
      <c r="T17" s="9"/>
      <c r="V17" s="3"/>
      <c r="W17" s="4"/>
      <c r="Y17" s="88">
        <f t="shared" si="0"/>
        <v>0</v>
      </c>
      <c r="Z17" s="88">
        <f t="shared" si="1"/>
        <v>0</v>
      </c>
      <c r="AA17" s="89">
        <f t="shared" si="2"/>
        <v>0</v>
      </c>
      <c r="AB17" s="89">
        <f t="shared" si="3"/>
        <v>0</v>
      </c>
      <c r="AC17" s="30">
        <f t="shared" si="4"/>
        <v>0</v>
      </c>
      <c r="AD17" s="30">
        <f t="shared" si="5"/>
        <v>0</v>
      </c>
    </row>
    <row r="18" spans="1:30" s="28" customFormat="1" ht="15.75">
      <c r="A18" s="40" t="s">
        <v>62</v>
      </c>
      <c r="B18" s="15" t="s">
        <v>34</v>
      </c>
      <c r="C18" s="6">
        <v>3.5</v>
      </c>
      <c r="D18" s="46">
        <f>C18/100</f>
        <v>0.035</v>
      </c>
      <c r="E18" s="15" t="s">
        <v>34</v>
      </c>
      <c r="F18" s="5">
        <v>3.49</v>
      </c>
      <c r="G18" s="31">
        <f>F18/100</f>
        <v>0.0349</v>
      </c>
      <c r="H18" s="15" t="s">
        <v>34</v>
      </c>
      <c r="I18" s="6">
        <v>4.4</v>
      </c>
      <c r="J18" s="16">
        <f>I18/100</f>
        <v>0.044000000000000004</v>
      </c>
      <c r="K18" s="15" t="s">
        <v>34</v>
      </c>
      <c r="L18" s="6">
        <v>7</v>
      </c>
      <c r="M18" s="16">
        <f>L18/100</f>
        <v>0.07</v>
      </c>
      <c r="N18" s="15" t="s">
        <v>34</v>
      </c>
      <c r="O18" s="6">
        <v>5.2</v>
      </c>
      <c r="P18" s="16">
        <f>O18/100</f>
        <v>0.052000000000000005</v>
      </c>
      <c r="Q18" s="15" t="s">
        <v>34</v>
      </c>
      <c r="R18" s="6">
        <v>3.95</v>
      </c>
      <c r="S18" s="31">
        <f>R18/100</f>
        <v>0.0395</v>
      </c>
      <c r="T18" s="9"/>
      <c r="V18" s="3" t="s">
        <v>174</v>
      </c>
      <c r="W18" s="4"/>
      <c r="Y18" s="88">
        <f t="shared" si="0"/>
        <v>0</v>
      </c>
      <c r="Z18" s="88">
        <f t="shared" si="1"/>
        <v>0</v>
      </c>
      <c r="AA18" s="89">
        <f t="shared" si="2"/>
        <v>0</v>
      </c>
      <c r="AB18" s="89">
        <f t="shared" si="3"/>
        <v>0</v>
      </c>
      <c r="AC18" s="30">
        <f t="shared" si="4"/>
        <v>0</v>
      </c>
      <c r="AD18" s="30">
        <f t="shared" si="5"/>
        <v>0</v>
      </c>
    </row>
    <row r="19" spans="1:30" s="28" customFormat="1" ht="33.75" customHeight="1">
      <c r="A19" s="40" t="s">
        <v>23</v>
      </c>
      <c r="B19" s="15" t="s">
        <v>35</v>
      </c>
      <c r="C19" s="6">
        <v>11.55</v>
      </c>
      <c r="D19" s="46">
        <f>C19/5</f>
        <v>2.31</v>
      </c>
      <c r="E19" s="14" t="s">
        <v>36</v>
      </c>
      <c r="F19" s="5">
        <v>2.74</v>
      </c>
      <c r="G19" s="31">
        <f>F19/10</f>
        <v>0.274</v>
      </c>
      <c r="H19" s="14" t="s">
        <v>36</v>
      </c>
      <c r="I19" s="6">
        <v>11</v>
      </c>
      <c r="J19" s="16">
        <f>I19/10</f>
        <v>1.1</v>
      </c>
      <c r="K19" s="14" t="s">
        <v>35</v>
      </c>
      <c r="L19" s="6">
        <v>3</v>
      </c>
      <c r="M19" s="16">
        <f>L19/5</f>
        <v>0.6</v>
      </c>
      <c r="N19" s="14" t="s">
        <v>36</v>
      </c>
      <c r="O19" s="6">
        <v>31.7</v>
      </c>
      <c r="P19" s="16">
        <f>O19/10</f>
        <v>3.17</v>
      </c>
      <c r="Q19" s="14" t="s">
        <v>36</v>
      </c>
      <c r="R19" s="6">
        <v>5.7</v>
      </c>
      <c r="S19" s="16">
        <f>R19/10</f>
        <v>0.5700000000000001</v>
      </c>
      <c r="T19" s="9"/>
      <c r="V19" s="3" t="s">
        <v>40</v>
      </c>
      <c r="W19" s="4"/>
      <c r="Y19" s="88">
        <f t="shared" si="0"/>
        <v>0</v>
      </c>
      <c r="Z19" s="88">
        <f t="shared" si="1"/>
        <v>0</v>
      </c>
      <c r="AA19" s="89">
        <f t="shared" si="2"/>
        <v>0</v>
      </c>
      <c r="AB19" s="89">
        <f t="shared" si="3"/>
        <v>0</v>
      </c>
      <c r="AC19" s="30">
        <f t="shared" si="4"/>
        <v>0</v>
      </c>
      <c r="AD19" s="30">
        <f t="shared" si="5"/>
        <v>0</v>
      </c>
    </row>
    <row r="20" spans="1:30" s="28" customFormat="1" ht="15.75">
      <c r="A20" s="40" t="s">
        <v>12</v>
      </c>
      <c r="B20" s="14" t="s">
        <v>36</v>
      </c>
      <c r="C20" s="6">
        <v>4.2</v>
      </c>
      <c r="D20" s="46">
        <f>C20/10</f>
        <v>0.42000000000000004</v>
      </c>
      <c r="E20" s="15" t="s">
        <v>35</v>
      </c>
      <c r="F20" s="5">
        <v>3.47</v>
      </c>
      <c r="G20" s="16">
        <f>F20/5</f>
        <v>0.6940000000000001</v>
      </c>
      <c r="H20" s="14" t="s">
        <v>36</v>
      </c>
      <c r="I20" s="6">
        <v>6.1</v>
      </c>
      <c r="J20" s="16">
        <f>I20/10</f>
        <v>0.61</v>
      </c>
      <c r="K20" s="15" t="s">
        <v>36</v>
      </c>
      <c r="L20" s="6">
        <v>3.8</v>
      </c>
      <c r="M20" s="16">
        <f>L20/10</f>
        <v>0.38</v>
      </c>
      <c r="N20" s="15" t="s">
        <v>35</v>
      </c>
      <c r="O20" s="6">
        <v>12.5</v>
      </c>
      <c r="P20" s="16">
        <f>O20/5</f>
        <v>2.5</v>
      </c>
      <c r="Q20" s="15" t="s">
        <v>34</v>
      </c>
      <c r="R20" s="6">
        <v>10.95</v>
      </c>
      <c r="S20" s="31">
        <f>R20/100</f>
        <v>0.10949999999999999</v>
      </c>
      <c r="T20" s="9"/>
      <c r="V20" s="3"/>
      <c r="W20" s="4"/>
      <c r="Y20" s="88">
        <f t="shared" si="0"/>
        <v>0</v>
      </c>
      <c r="Z20" s="88">
        <f t="shared" si="1"/>
        <v>0</v>
      </c>
      <c r="AA20" s="89">
        <f t="shared" si="2"/>
        <v>0</v>
      </c>
      <c r="AB20" s="89">
        <f t="shared" si="3"/>
        <v>0</v>
      </c>
      <c r="AC20" s="30">
        <f t="shared" si="4"/>
        <v>0</v>
      </c>
      <c r="AD20" s="30">
        <f t="shared" si="5"/>
        <v>0</v>
      </c>
    </row>
    <row r="21" spans="1:30" s="28" customFormat="1" ht="19.5" customHeight="1">
      <c r="A21" s="40" t="s">
        <v>13</v>
      </c>
      <c r="B21" s="15" t="s">
        <v>38</v>
      </c>
      <c r="C21" s="6">
        <v>4.06</v>
      </c>
      <c r="D21" s="46">
        <f>C21/1</f>
        <v>4.06</v>
      </c>
      <c r="E21" s="15" t="s">
        <v>38</v>
      </c>
      <c r="F21" s="5">
        <v>3.47</v>
      </c>
      <c r="G21" s="16">
        <f>F21/1</f>
        <v>3.47</v>
      </c>
      <c r="H21" s="14" t="s">
        <v>38</v>
      </c>
      <c r="I21" s="6">
        <v>3.9</v>
      </c>
      <c r="J21" s="16">
        <f>I21/1</f>
        <v>3.9</v>
      </c>
      <c r="K21" s="14" t="s">
        <v>38</v>
      </c>
      <c r="L21" s="6">
        <v>3.9</v>
      </c>
      <c r="M21" s="16">
        <f>L21/1</f>
        <v>3.9</v>
      </c>
      <c r="N21" s="14" t="s">
        <v>38</v>
      </c>
      <c r="O21" s="6">
        <v>4.78</v>
      </c>
      <c r="P21" s="16">
        <f>O21/1</f>
        <v>4.78</v>
      </c>
      <c r="Q21" s="14" t="s">
        <v>38</v>
      </c>
      <c r="R21" s="6">
        <v>3.99</v>
      </c>
      <c r="S21" s="16">
        <f>R21/1</f>
        <v>3.99</v>
      </c>
      <c r="T21" s="9"/>
      <c r="V21" s="3"/>
      <c r="W21" s="4"/>
      <c r="Y21" s="88">
        <f t="shared" si="0"/>
        <v>0</v>
      </c>
      <c r="Z21" s="88">
        <f t="shared" si="1"/>
        <v>0</v>
      </c>
      <c r="AA21" s="89">
        <f t="shared" si="2"/>
        <v>0</v>
      </c>
      <c r="AB21" s="89">
        <f t="shared" si="3"/>
        <v>0</v>
      </c>
      <c r="AC21" s="30">
        <f t="shared" si="4"/>
        <v>0</v>
      </c>
      <c r="AD21" s="30">
        <f t="shared" si="5"/>
        <v>0</v>
      </c>
    </row>
    <row r="22" spans="1:30" s="28" customFormat="1" ht="15.75">
      <c r="A22" s="40" t="s">
        <v>14</v>
      </c>
      <c r="B22" s="14" t="s">
        <v>38</v>
      </c>
      <c r="C22" s="6">
        <v>0.37</v>
      </c>
      <c r="D22" s="46">
        <f>C22/1</f>
        <v>0.37</v>
      </c>
      <c r="E22" s="14" t="s">
        <v>38</v>
      </c>
      <c r="F22" s="5">
        <v>0.93</v>
      </c>
      <c r="G22" s="16">
        <f>F22/1</f>
        <v>0.93</v>
      </c>
      <c r="H22" s="14" t="s">
        <v>113</v>
      </c>
      <c r="I22" s="6">
        <v>1.22</v>
      </c>
      <c r="J22" s="16">
        <f>I22/1</f>
        <v>1.22</v>
      </c>
      <c r="K22" s="14" t="s">
        <v>38</v>
      </c>
      <c r="L22" s="6">
        <v>1</v>
      </c>
      <c r="M22" s="16">
        <f>L22/1</f>
        <v>1</v>
      </c>
      <c r="N22" s="14" t="s">
        <v>38</v>
      </c>
      <c r="O22" s="6">
        <v>1.05</v>
      </c>
      <c r="P22" s="16">
        <f>O22/1</f>
        <v>1.05</v>
      </c>
      <c r="Q22" s="14" t="s">
        <v>37</v>
      </c>
      <c r="R22" s="6">
        <v>24.75</v>
      </c>
      <c r="S22" s="16">
        <f>R22/25</f>
        <v>0.99</v>
      </c>
      <c r="T22" s="9"/>
      <c r="V22" s="3" t="s">
        <v>40</v>
      </c>
      <c r="W22" s="4"/>
      <c r="Y22" s="88">
        <f t="shared" si="0"/>
        <v>0</v>
      </c>
      <c r="Z22" s="88">
        <f t="shared" si="1"/>
        <v>0</v>
      </c>
      <c r="AA22" s="89">
        <f t="shared" si="2"/>
        <v>0</v>
      </c>
      <c r="AB22" s="89">
        <f t="shared" si="3"/>
        <v>0</v>
      </c>
      <c r="AC22" s="30">
        <f t="shared" si="4"/>
        <v>0</v>
      </c>
      <c r="AD22" s="30">
        <f t="shared" si="5"/>
        <v>0</v>
      </c>
    </row>
    <row r="23" spans="1:30" s="28" customFormat="1" ht="19.5" customHeight="1">
      <c r="A23" s="40" t="s">
        <v>24</v>
      </c>
      <c r="B23" s="15" t="s">
        <v>38</v>
      </c>
      <c r="C23" s="6">
        <v>1.9</v>
      </c>
      <c r="D23" s="46">
        <f>C23/1</f>
        <v>1.9</v>
      </c>
      <c r="E23" s="15" t="s">
        <v>38</v>
      </c>
      <c r="F23" s="5">
        <v>1.7</v>
      </c>
      <c r="G23" s="16">
        <f>F23/1</f>
        <v>1.7</v>
      </c>
      <c r="H23" s="15" t="s">
        <v>38</v>
      </c>
      <c r="I23" s="6">
        <v>1.88</v>
      </c>
      <c r="J23" s="16">
        <f>I23/1</f>
        <v>1.88</v>
      </c>
      <c r="K23" s="14" t="s">
        <v>38</v>
      </c>
      <c r="L23" s="6">
        <v>1.88</v>
      </c>
      <c r="M23" s="16">
        <f>L23/1</f>
        <v>1.88</v>
      </c>
      <c r="N23" s="14" t="s">
        <v>38</v>
      </c>
      <c r="O23" s="6">
        <v>2.45</v>
      </c>
      <c r="P23" s="16">
        <f>O23/1</f>
        <v>2.45</v>
      </c>
      <c r="Q23" s="14" t="s">
        <v>38</v>
      </c>
      <c r="R23" s="6">
        <v>1.79</v>
      </c>
      <c r="S23" s="16">
        <f>R23/1</f>
        <v>1.79</v>
      </c>
      <c r="T23" s="9"/>
      <c r="V23" s="3"/>
      <c r="W23" s="4"/>
      <c r="Y23" s="88">
        <f t="shared" si="0"/>
        <v>0</v>
      </c>
      <c r="Z23" s="88">
        <f t="shared" si="1"/>
        <v>0</v>
      </c>
      <c r="AA23" s="89">
        <f t="shared" si="2"/>
        <v>0</v>
      </c>
      <c r="AB23" s="89">
        <f t="shared" si="3"/>
        <v>0</v>
      </c>
      <c r="AC23" s="30">
        <f t="shared" si="4"/>
        <v>0</v>
      </c>
      <c r="AD23" s="30">
        <f t="shared" si="5"/>
        <v>0</v>
      </c>
    </row>
    <row r="24" spans="1:30" s="28" customFormat="1" ht="21" customHeight="1">
      <c r="A24" s="40" t="s">
        <v>6</v>
      </c>
      <c r="B24" s="15" t="s">
        <v>38</v>
      </c>
      <c r="C24" s="6">
        <v>0.9</v>
      </c>
      <c r="D24" s="46">
        <f>C24/1</f>
        <v>0.9</v>
      </c>
      <c r="E24" s="15" t="s">
        <v>38</v>
      </c>
      <c r="F24" s="5">
        <v>1.67</v>
      </c>
      <c r="G24" s="16">
        <f>F24/1</f>
        <v>1.67</v>
      </c>
      <c r="H24" s="15" t="s">
        <v>38</v>
      </c>
      <c r="I24" s="6">
        <v>1.35</v>
      </c>
      <c r="J24" s="16">
        <f>I24/1</f>
        <v>1.35</v>
      </c>
      <c r="K24" s="14" t="s">
        <v>38</v>
      </c>
      <c r="L24" s="6">
        <v>1.45</v>
      </c>
      <c r="M24" s="16">
        <f>L24/1</f>
        <v>1.45</v>
      </c>
      <c r="N24" s="14" t="s">
        <v>38</v>
      </c>
      <c r="O24" s="6">
        <v>3.8</v>
      </c>
      <c r="P24" s="31">
        <f>O24/1</f>
        <v>3.8</v>
      </c>
      <c r="Q24" s="14" t="s">
        <v>38</v>
      </c>
      <c r="R24" s="6">
        <v>1.58</v>
      </c>
      <c r="S24" s="16">
        <f>R24/1</f>
        <v>1.58</v>
      </c>
      <c r="T24" s="9"/>
      <c r="V24" s="3" t="s">
        <v>35</v>
      </c>
      <c r="W24" s="4"/>
      <c r="Y24" s="88">
        <f t="shared" si="0"/>
        <v>0</v>
      </c>
      <c r="Z24" s="88">
        <f t="shared" si="1"/>
        <v>0</v>
      </c>
      <c r="AA24" s="89">
        <f t="shared" si="2"/>
        <v>0</v>
      </c>
      <c r="AB24" s="89">
        <f t="shared" si="3"/>
        <v>0</v>
      </c>
      <c r="AC24" s="30">
        <f t="shared" si="4"/>
        <v>0</v>
      </c>
      <c r="AD24" s="30">
        <f t="shared" si="5"/>
        <v>0</v>
      </c>
    </row>
    <row r="25" spans="1:30" s="28" customFormat="1" ht="20.25" customHeight="1">
      <c r="A25" s="40" t="s">
        <v>7</v>
      </c>
      <c r="B25" s="15" t="s">
        <v>41</v>
      </c>
      <c r="C25" s="6">
        <v>23.7</v>
      </c>
      <c r="D25" s="47">
        <f>C25/1000</f>
        <v>0.0237</v>
      </c>
      <c r="E25" s="15" t="s">
        <v>40</v>
      </c>
      <c r="F25" s="5">
        <v>0.4</v>
      </c>
      <c r="G25" s="16">
        <f>F25/20</f>
        <v>0.02</v>
      </c>
      <c r="H25" s="15" t="s">
        <v>41</v>
      </c>
      <c r="I25" s="6">
        <v>28</v>
      </c>
      <c r="J25" s="16">
        <f>I25/1000</f>
        <v>0.028</v>
      </c>
      <c r="K25" s="15" t="s">
        <v>50</v>
      </c>
      <c r="L25" s="6">
        <v>0.86</v>
      </c>
      <c r="M25" s="16">
        <f>L25/20</f>
        <v>0.043</v>
      </c>
      <c r="N25" s="15" t="s">
        <v>50</v>
      </c>
      <c r="O25" s="6">
        <v>0.7</v>
      </c>
      <c r="P25" s="16">
        <f>O25/20</f>
        <v>0.034999999999999996</v>
      </c>
      <c r="Q25" s="15" t="s">
        <v>133</v>
      </c>
      <c r="R25" s="6">
        <v>1.22</v>
      </c>
      <c r="S25" s="16">
        <f>R25/50</f>
        <v>0.024399999999999998</v>
      </c>
      <c r="T25" s="9"/>
      <c r="V25" s="3" t="s">
        <v>151</v>
      </c>
      <c r="W25" s="4"/>
      <c r="Y25" s="88">
        <f t="shared" si="0"/>
        <v>0</v>
      </c>
      <c r="Z25" s="88">
        <f t="shared" si="1"/>
        <v>0</v>
      </c>
      <c r="AA25" s="89">
        <f t="shared" si="2"/>
        <v>0</v>
      </c>
      <c r="AB25" s="89">
        <f t="shared" si="3"/>
        <v>0</v>
      </c>
      <c r="AC25" s="30">
        <f t="shared" si="4"/>
        <v>0</v>
      </c>
      <c r="AD25" s="30">
        <f t="shared" si="5"/>
        <v>0</v>
      </c>
    </row>
    <row r="26" spans="1:30" s="28" customFormat="1" ht="23.25" customHeight="1">
      <c r="A26" s="40" t="s">
        <v>8</v>
      </c>
      <c r="B26" s="37" t="s">
        <v>88</v>
      </c>
      <c r="C26" s="6">
        <v>23.7</v>
      </c>
      <c r="D26" s="46">
        <f>C26/300</f>
        <v>0.079</v>
      </c>
      <c r="E26" s="57" t="s">
        <v>104</v>
      </c>
      <c r="F26" s="5">
        <v>1.44</v>
      </c>
      <c r="G26" s="16">
        <f>F26/10</f>
        <v>0.144</v>
      </c>
      <c r="H26" s="37" t="s">
        <v>114</v>
      </c>
      <c r="I26" s="6">
        <v>22.8</v>
      </c>
      <c r="J26" s="16">
        <f>I26/300</f>
        <v>0.076</v>
      </c>
      <c r="K26" s="15" t="s">
        <v>51</v>
      </c>
      <c r="L26" s="6">
        <v>1.02</v>
      </c>
      <c r="M26" s="16">
        <f>L26/10</f>
        <v>0.10200000000000001</v>
      </c>
      <c r="N26" s="15" t="s">
        <v>131</v>
      </c>
      <c r="O26" s="6">
        <v>41.6</v>
      </c>
      <c r="P26" s="16">
        <f>O26/260</f>
        <v>0.16</v>
      </c>
      <c r="Q26" s="15" t="s">
        <v>50</v>
      </c>
      <c r="R26" s="6">
        <v>1.99</v>
      </c>
      <c r="S26" s="16">
        <f>R26/20</f>
        <v>0.0995</v>
      </c>
      <c r="T26" s="9"/>
      <c r="V26" s="3" t="s">
        <v>150</v>
      </c>
      <c r="W26" s="4"/>
      <c r="Y26" s="88">
        <f t="shared" si="0"/>
        <v>0</v>
      </c>
      <c r="Z26" s="88">
        <f t="shared" si="1"/>
        <v>0</v>
      </c>
      <c r="AA26" s="89">
        <f t="shared" si="2"/>
        <v>0</v>
      </c>
      <c r="AB26" s="89">
        <f t="shared" si="3"/>
        <v>0</v>
      </c>
      <c r="AC26" s="30">
        <f t="shared" si="4"/>
        <v>0</v>
      </c>
      <c r="AD26" s="30">
        <f t="shared" si="5"/>
        <v>0</v>
      </c>
    </row>
    <row r="27" spans="1:30" s="28" customFormat="1" ht="47.25">
      <c r="A27" s="40" t="s">
        <v>25</v>
      </c>
      <c r="B27" s="15" t="s">
        <v>89</v>
      </c>
      <c r="C27" s="6">
        <v>1.16</v>
      </c>
      <c r="D27" s="46">
        <f>C27/10</f>
        <v>0.11599999999999999</v>
      </c>
      <c r="E27" s="17" t="s">
        <v>42</v>
      </c>
      <c r="F27" s="5">
        <v>0.81</v>
      </c>
      <c r="G27" s="16">
        <f>F27/10</f>
        <v>0.081</v>
      </c>
      <c r="H27" s="15" t="s">
        <v>115</v>
      </c>
      <c r="I27" s="6">
        <v>0.98</v>
      </c>
      <c r="J27" s="16">
        <f>I27/10</f>
        <v>0.098</v>
      </c>
      <c r="K27" s="15" t="s">
        <v>115</v>
      </c>
      <c r="L27" s="6">
        <v>1.5</v>
      </c>
      <c r="M27" s="16">
        <f>L27/10</f>
        <v>0.15</v>
      </c>
      <c r="N27" s="15" t="s">
        <v>115</v>
      </c>
      <c r="O27" s="6">
        <v>1.9</v>
      </c>
      <c r="P27" s="16">
        <f>O27/10</f>
        <v>0.19</v>
      </c>
      <c r="Q27" s="15" t="s">
        <v>115</v>
      </c>
      <c r="R27" s="6">
        <v>1.59</v>
      </c>
      <c r="S27" s="16">
        <f>R27/10</f>
        <v>0.159</v>
      </c>
      <c r="T27" s="9"/>
      <c r="V27" s="3" t="s">
        <v>53</v>
      </c>
      <c r="W27" s="4">
        <v>720</v>
      </c>
      <c r="Y27" s="88">
        <f t="shared" si="0"/>
        <v>83.52</v>
      </c>
      <c r="Z27" s="88">
        <f t="shared" si="1"/>
        <v>58.32</v>
      </c>
      <c r="AA27" s="89">
        <f t="shared" si="2"/>
        <v>70.56</v>
      </c>
      <c r="AB27" s="89">
        <f t="shared" si="3"/>
        <v>108</v>
      </c>
      <c r="AC27" s="30">
        <f t="shared" si="4"/>
        <v>136.8</v>
      </c>
      <c r="AD27" s="30">
        <f t="shared" si="5"/>
        <v>114.48</v>
      </c>
    </row>
    <row r="28" spans="1:30" s="28" customFormat="1" ht="47.25">
      <c r="A28" s="40" t="s">
        <v>26</v>
      </c>
      <c r="B28" s="15" t="s">
        <v>89</v>
      </c>
      <c r="C28" s="6">
        <v>1.16</v>
      </c>
      <c r="D28" s="46">
        <f>C28/10</f>
        <v>0.11599999999999999</v>
      </c>
      <c r="E28" s="17" t="s">
        <v>42</v>
      </c>
      <c r="F28" s="5">
        <v>1.37</v>
      </c>
      <c r="G28" s="16">
        <f>F28/10</f>
        <v>0.137</v>
      </c>
      <c r="H28" s="15" t="s">
        <v>115</v>
      </c>
      <c r="I28" s="6">
        <v>0.94</v>
      </c>
      <c r="J28" s="16">
        <f>I28/10</f>
        <v>0.094</v>
      </c>
      <c r="K28" s="15" t="s">
        <v>115</v>
      </c>
      <c r="L28" s="6">
        <v>1.29</v>
      </c>
      <c r="M28" s="16">
        <f>L28/10</f>
        <v>0.129</v>
      </c>
      <c r="N28" s="15" t="s">
        <v>115</v>
      </c>
      <c r="O28" s="6">
        <v>1.74</v>
      </c>
      <c r="P28" s="16">
        <f>O28/10</f>
        <v>0.174</v>
      </c>
      <c r="Q28" s="15" t="s">
        <v>115</v>
      </c>
      <c r="R28" s="61">
        <v>1.155</v>
      </c>
      <c r="S28" s="31">
        <f>R28/10</f>
        <v>0.1155</v>
      </c>
      <c r="T28" s="9"/>
      <c r="V28" s="3"/>
      <c r="W28" s="4"/>
      <c r="Y28" s="88">
        <f t="shared" si="0"/>
        <v>0</v>
      </c>
      <c r="Z28" s="88">
        <f t="shared" si="1"/>
        <v>0</v>
      </c>
      <c r="AA28" s="89">
        <f t="shared" si="2"/>
        <v>0</v>
      </c>
      <c r="AB28" s="89">
        <f t="shared" si="3"/>
        <v>0</v>
      </c>
      <c r="AC28" s="30">
        <f t="shared" si="4"/>
        <v>0</v>
      </c>
      <c r="AD28" s="30">
        <f t="shared" si="5"/>
        <v>0</v>
      </c>
    </row>
    <row r="29" spans="1:30" s="28" customFormat="1" ht="72.75" customHeight="1">
      <c r="A29" s="41" t="s">
        <v>83</v>
      </c>
      <c r="B29" s="15" t="s">
        <v>91</v>
      </c>
      <c r="C29" s="6">
        <v>5.1</v>
      </c>
      <c r="D29" s="46">
        <f>C29/2</f>
        <v>2.55</v>
      </c>
      <c r="E29" s="14" t="s">
        <v>54</v>
      </c>
      <c r="F29" s="5">
        <v>5.76</v>
      </c>
      <c r="G29" s="16">
        <f>F29/2</f>
        <v>2.88</v>
      </c>
      <c r="H29" s="15" t="s">
        <v>54</v>
      </c>
      <c r="I29" s="6">
        <v>5.38</v>
      </c>
      <c r="J29" s="16">
        <f>I29/2</f>
        <v>2.69</v>
      </c>
      <c r="K29" s="15" t="s">
        <v>55</v>
      </c>
      <c r="L29" s="6">
        <v>5.6</v>
      </c>
      <c r="M29" s="16">
        <f>L29/2</f>
        <v>2.8</v>
      </c>
      <c r="N29" s="15" t="s">
        <v>55</v>
      </c>
      <c r="O29" s="6">
        <v>9.02</v>
      </c>
      <c r="P29" s="16">
        <f>O29/2</f>
        <v>4.51</v>
      </c>
      <c r="Q29" s="15" t="s">
        <v>55</v>
      </c>
      <c r="R29" s="6">
        <v>7.99</v>
      </c>
      <c r="S29" s="31">
        <f>R29/2</f>
        <v>3.995</v>
      </c>
      <c r="T29" s="9"/>
      <c r="V29" s="3"/>
      <c r="W29" s="4"/>
      <c r="Y29" s="88">
        <f t="shared" si="0"/>
        <v>0</v>
      </c>
      <c r="Z29" s="88">
        <f t="shared" si="1"/>
        <v>0</v>
      </c>
      <c r="AA29" s="89">
        <f t="shared" si="2"/>
        <v>0</v>
      </c>
      <c r="AB29" s="89">
        <f t="shared" si="3"/>
        <v>0</v>
      </c>
      <c r="AC29" s="30">
        <f t="shared" si="4"/>
        <v>0</v>
      </c>
      <c r="AD29" s="30">
        <f t="shared" si="5"/>
        <v>0</v>
      </c>
    </row>
    <row r="30" spans="1:30" s="28" customFormat="1" ht="69" customHeight="1">
      <c r="A30" s="41" t="s">
        <v>90</v>
      </c>
      <c r="B30" s="15" t="s">
        <v>92</v>
      </c>
      <c r="C30" s="6">
        <v>5.1</v>
      </c>
      <c r="D30" s="46">
        <f>C30/2</f>
        <v>2.55</v>
      </c>
      <c r="E30" s="14" t="s">
        <v>54</v>
      </c>
      <c r="F30" s="5">
        <v>5.76</v>
      </c>
      <c r="G30" s="16">
        <f>F30/2</f>
        <v>2.88</v>
      </c>
      <c r="H30" s="15" t="s">
        <v>54</v>
      </c>
      <c r="I30" s="6">
        <v>4.98</v>
      </c>
      <c r="J30" s="16">
        <f>I30/2</f>
        <v>2.49</v>
      </c>
      <c r="K30" s="15" t="s">
        <v>55</v>
      </c>
      <c r="L30" s="6">
        <v>6.2</v>
      </c>
      <c r="M30" s="16">
        <f>L30/2</f>
        <v>3.1</v>
      </c>
      <c r="N30" s="15" t="s">
        <v>55</v>
      </c>
      <c r="O30" s="6">
        <v>6.98</v>
      </c>
      <c r="P30" s="16">
        <f>O30/2</f>
        <v>3.49</v>
      </c>
      <c r="Q30" s="15" t="s">
        <v>55</v>
      </c>
      <c r="R30" s="6">
        <v>6.1</v>
      </c>
      <c r="S30" s="16">
        <f>R30/2</f>
        <v>3.05</v>
      </c>
      <c r="T30" s="29"/>
      <c r="V30" s="30" t="s">
        <v>175</v>
      </c>
      <c r="W30" s="4">
        <v>20</v>
      </c>
      <c r="Y30" s="88">
        <f t="shared" si="0"/>
        <v>51</v>
      </c>
      <c r="Z30" s="88">
        <f t="shared" si="1"/>
        <v>57.599999999999994</v>
      </c>
      <c r="AA30" s="89">
        <f t="shared" si="2"/>
        <v>49.800000000000004</v>
      </c>
      <c r="AB30" s="89">
        <f t="shared" si="3"/>
        <v>62</v>
      </c>
      <c r="AC30" s="30">
        <f t="shared" si="4"/>
        <v>69.80000000000001</v>
      </c>
      <c r="AD30" s="30">
        <f t="shared" si="5"/>
        <v>61</v>
      </c>
    </row>
    <row r="31" spans="1:30" s="28" customFormat="1" ht="15.75">
      <c r="A31" s="40" t="s">
        <v>9</v>
      </c>
      <c r="B31" s="15" t="s">
        <v>38</v>
      </c>
      <c r="C31" s="7">
        <v>0.91</v>
      </c>
      <c r="D31" s="48">
        <f>C31/1</f>
        <v>0.91</v>
      </c>
      <c r="E31" s="20" t="s">
        <v>38</v>
      </c>
      <c r="F31" s="5">
        <v>0.78</v>
      </c>
      <c r="G31" s="16">
        <f>F31/1</f>
        <v>0.78</v>
      </c>
      <c r="H31" s="20" t="s">
        <v>38</v>
      </c>
      <c r="I31" s="5">
        <v>1.3</v>
      </c>
      <c r="J31" s="16">
        <f>I31/1</f>
        <v>1.3</v>
      </c>
      <c r="K31" s="20" t="s">
        <v>38</v>
      </c>
      <c r="L31" s="5">
        <v>1.9</v>
      </c>
      <c r="M31" s="16">
        <f>L31/1</f>
        <v>1.9</v>
      </c>
      <c r="N31" s="20" t="s">
        <v>38</v>
      </c>
      <c r="O31" s="5">
        <v>2.35</v>
      </c>
      <c r="P31" s="16">
        <f>O31/1</f>
        <v>2.35</v>
      </c>
      <c r="Q31" s="20" t="s">
        <v>38</v>
      </c>
      <c r="R31" s="5">
        <v>0.78</v>
      </c>
      <c r="S31" s="16">
        <f>R31/1</f>
        <v>0.78</v>
      </c>
      <c r="T31" s="29"/>
      <c r="V31" s="30" t="s">
        <v>40</v>
      </c>
      <c r="W31" s="4"/>
      <c r="Y31" s="88">
        <f t="shared" si="0"/>
        <v>0</v>
      </c>
      <c r="Z31" s="88">
        <f t="shared" si="1"/>
        <v>0</v>
      </c>
      <c r="AA31" s="89">
        <f t="shared" si="2"/>
        <v>0</v>
      </c>
      <c r="AB31" s="89">
        <f t="shared" si="3"/>
        <v>0</v>
      </c>
      <c r="AC31" s="30">
        <f t="shared" si="4"/>
        <v>0</v>
      </c>
      <c r="AD31" s="30">
        <f t="shared" si="5"/>
        <v>0</v>
      </c>
    </row>
    <row r="32" spans="1:30" s="28" customFormat="1" ht="15.75">
      <c r="A32" s="40" t="s">
        <v>10</v>
      </c>
      <c r="B32" s="15" t="s">
        <v>38</v>
      </c>
      <c r="C32" s="7">
        <v>0.92</v>
      </c>
      <c r="D32" s="48">
        <f>C32/1</f>
        <v>0.92</v>
      </c>
      <c r="E32" s="20" t="s">
        <v>38</v>
      </c>
      <c r="F32" s="5">
        <v>0.78</v>
      </c>
      <c r="G32" s="16">
        <f>F32/1</f>
        <v>0.78</v>
      </c>
      <c r="H32" s="20" t="s">
        <v>38</v>
      </c>
      <c r="I32" s="5">
        <v>1.59</v>
      </c>
      <c r="J32" s="16">
        <f>I32/1</f>
        <v>1.59</v>
      </c>
      <c r="K32" s="20" t="s">
        <v>38</v>
      </c>
      <c r="L32" s="5">
        <v>1.3</v>
      </c>
      <c r="M32" s="16">
        <f>L32/1</f>
        <v>1.3</v>
      </c>
      <c r="N32" s="20" t="s">
        <v>38</v>
      </c>
      <c r="O32" s="5">
        <v>4.5</v>
      </c>
      <c r="P32" s="16">
        <f>O32/1</f>
        <v>4.5</v>
      </c>
      <c r="Q32" s="20" t="s">
        <v>38</v>
      </c>
      <c r="R32" s="5">
        <v>1.74</v>
      </c>
      <c r="S32" s="16">
        <f>R32/1</f>
        <v>1.74</v>
      </c>
      <c r="V32" s="30"/>
      <c r="W32" s="4"/>
      <c r="Y32" s="88">
        <f t="shared" si="0"/>
        <v>0</v>
      </c>
      <c r="Z32" s="88">
        <f t="shared" si="1"/>
        <v>0</v>
      </c>
      <c r="AA32" s="89">
        <f t="shared" si="2"/>
        <v>0</v>
      </c>
      <c r="AB32" s="89">
        <f t="shared" si="3"/>
        <v>0</v>
      </c>
      <c r="AC32" s="30">
        <f t="shared" si="4"/>
        <v>0</v>
      </c>
      <c r="AD32" s="30">
        <f t="shared" si="5"/>
        <v>0</v>
      </c>
    </row>
    <row r="33" spans="1:30" s="28" customFormat="1" ht="15.75">
      <c r="A33" s="40" t="s">
        <v>15</v>
      </c>
      <c r="B33" s="15" t="s">
        <v>93</v>
      </c>
      <c r="C33" s="7">
        <v>0.34</v>
      </c>
      <c r="D33" s="49">
        <f>C33/3</f>
        <v>0.11333333333333334</v>
      </c>
      <c r="E33" s="20" t="s">
        <v>40</v>
      </c>
      <c r="F33" s="5">
        <v>3.39</v>
      </c>
      <c r="G33" s="16">
        <f>F33/20</f>
        <v>0.1695</v>
      </c>
      <c r="H33" s="15" t="s">
        <v>93</v>
      </c>
      <c r="I33" s="54">
        <v>0.417</v>
      </c>
      <c r="J33" s="16">
        <f>I33/3</f>
        <v>0.13899999999999998</v>
      </c>
      <c r="K33" s="15" t="s">
        <v>93</v>
      </c>
      <c r="L33" s="5">
        <v>0.7</v>
      </c>
      <c r="M33" s="16">
        <f>L33/3</f>
        <v>0.2333333333333333</v>
      </c>
      <c r="N33" s="15" t="s">
        <v>43</v>
      </c>
      <c r="O33" s="5">
        <v>4.99</v>
      </c>
      <c r="P33" s="16">
        <f>O33/15</f>
        <v>0.33266666666666667</v>
      </c>
      <c r="Q33" s="15" t="s">
        <v>36</v>
      </c>
      <c r="R33" s="5">
        <v>1.9</v>
      </c>
      <c r="S33" s="16">
        <f>R33/10</f>
        <v>0.19</v>
      </c>
      <c r="V33" s="30"/>
      <c r="W33" s="4"/>
      <c r="Y33" s="88">
        <f t="shared" si="0"/>
        <v>0</v>
      </c>
      <c r="Z33" s="88">
        <f t="shared" si="1"/>
        <v>0</v>
      </c>
      <c r="AA33" s="89">
        <f t="shared" si="2"/>
        <v>0</v>
      </c>
      <c r="AB33" s="89">
        <f t="shared" si="3"/>
        <v>0</v>
      </c>
      <c r="AC33" s="30">
        <f t="shared" si="4"/>
        <v>0</v>
      </c>
      <c r="AD33" s="30">
        <f t="shared" si="5"/>
        <v>0</v>
      </c>
    </row>
    <row r="34" spans="1:30" s="28" customFormat="1" ht="15.75">
      <c r="A34" s="40" t="s">
        <v>16</v>
      </c>
      <c r="B34" s="14" t="s">
        <v>38</v>
      </c>
      <c r="C34" s="7">
        <v>6.45</v>
      </c>
      <c r="D34" s="50">
        <f aca="true" t="shared" si="6" ref="D34:D46">C34/1</f>
        <v>6.45</v>
      </c>
      <c r="E34" s="20" t="s">
        <v>38</v>
      </c>
      <c r="F34" s="5">
        <v>5.3</v>
      </c>
      <c r="G34" s="16">
        <f aca="true" t="shared" si="7" ref="G34:G46">F34/1</f>
        <v>5.3</v>
      </c>
      <c r="H34" s="20" t="s">
        <v>116</v>
      </c>
      <c r="I34" s="5">
        <v>3.89</v>
      </c>
      <c r="J34" s="16">
        <f aca="true" t="shared" si="8" ref="J34:J46">I34/1</f>
        <v>3.89</v>
      </c>
      <c r="K34" s="20" t="s">
        <v>38</v>
      </c>
      <c r="L34" s="5">
        <v>2.1</v>
      </c>
      <c r="M34" s="16">
        <f aca="true" t="shared" si="9" ref="M34:M46">L34/1</f>
        <v>2.1</v>
      </c>
      <c r="N34" s="20" t="s">
        <v>38</v>
      </c>
      <c r="O34" s="5">
        <v>7.4</v>
      </c>
      <c r="P34" s="16">
        <f aca="true" t="shared" si="10" ref="P34:P46">O34/1</f>
        <v>7.4</v>
      </c>
      <c r="Q34" s="20" t="s">
        <v>38</v>
      </c>
      <c r="R34" s="5">
        <v>5.36</v>
      </c>
      <c r="S34" s="16">
        <f aca="true" t="shared" si="11" ref="S34:S46">R34/1</f>
        <v>5.36</v>
      </c>
      <c r="V34" s="30"/>
      <c r="W34" s="4"/>
      <c r="Y34" s="88">
        <f t="shared" si="0"/>
        <v>0</v>
      </c>
      <c r="Z34" s="88">
        <f t="shared" si="1"/>
        <v>0</v>
      </c>
      <c r="AA34" s="89">
        <f t="shared" si="2"/>
        <v>0</v>
      </c>
      <c r="AB34" s="89">
        <f t="shared" si="3"/>
        <v>0</v>
      </c>
      <c r="AC34" s="30">
        <f t="shared" si="4"/>
        <v>0</v>
      </c>
      <c r="AD34" s="30">
        <f t="shared" si="5"/>
        <v>0</v>
      </c>
    </row>
    <row r="35" spans="1:30" s="28" customFormat="1" ht="15.75">
      <c r="A35" s="40" t="s">
        <v>63</v>
      </c>
      <c r="B35" s="15" t="s">
        <v>38</v>
      </c>
      <c r="C35" s="7">
        <v>0.87</v>
      </c>
      <c r="D35" s="48">
        <f t="shared" si="6"/>
        <v>0.87</v>
      </c>
      <c r="E35" s="19" t="s">
        <v>38</v>
      </c>
      <c r="F35" s="5">
        <v>0.85</v>
      </c>
      <c r="G35" s="16">
        <f t="shared" si="7"/>
        <v>0.85</v>
      </c>
      <c r="H35" s="19" t="s">
        <v>38</v>
      </c>
      <c r="I35" s="5">
        <v>1.05</v>
      </c>
      <c r="J35" s="16">
        <f t="shared" si="8"/>
        <v>1.05</v>
      </c>
      <c r="K35" s="19" t="s">
        <v>38</v>
      </c>
      <c r="L35" s="5">
        <v>1.2</v>
      </c>
      <c r="M35" s="16">
        <f t="shared" si="9"/>
        <v>1.2</v>
      </c>
      <c r="N35" s="19" t="s">
        <v>38</v>
      </c>
      <c r="O35" s="5">
        <v>1.3</v>
      </c>
      <c r="P35" s="16">
        <f t="shared" si="10"/>
        <v>1.3</v>
      </c>
      <c r="Q35" s="19" t="s">
        <v>38</v>
      </c>
      <c r="R35" s="5">
        <v>0.9</v>
      </c>
      <c r="S35" s="16">
        <f t="shared" si="11"/>
        <v>0.9</v>
      </c>
      <c r="V35" s="30" t="s">
        <v>36</v>
      </c>
      <c r="W35" s="4"/>
      <c r="Y35" s="88">
        <f t="shared" si="0"/>
        <v>0</v>
      </c>
      <c r="Z35" s="88">
        <f t="shared" si="1"/>
        <v>0</v>
      </c>
      <c r="AA35" s="89">
        <f t="shared" si="2"/>
        <v>0</v>
      </c>
      <c r="AB35" s="89">
        <f t="shared" si="3"/>
        <v>0</v>
      </c>
      <c r="AC35" s="30">
        <f t="shared" si="4"/>
        <v>0</v>
      </c>
      <c r="AD35" s="30">
        <f t="shared" si="5"/>
        <v>0</v>
      </c>
    </row>
    <row r="36" spans="1:30" s="28" customFormat="1" ht="15.75">
      <c r="A36" s="40" t="s">
        <v>64</v>
      </c>
      <c r="B36" s="32" t="s">
        <v>38</v>
      </c>
      <c r="C36" s="24">
        <v>0.8</v>
      </c>
      <c r="D36" s="51">
        <f t="shared" si="6"/>
        <v>0.8</v>
      </c>
      <c r="E36" s="25" t="s">
        <v>38</v>
      </c>
      <c r="F36" s="26">
        <v>0.92</v>
      </c>
      <c r="G36" s="27">
        <f t="shared" si="7"/>
        <v>0.92</v>
      </c>
      <c r="H36" s="25" t="s">
        <v>38</v>
      </c>
      <c r="I36" s="26">
        <v>1.05</v>
      </c>
      <c r="J36" s="27">
        <f t="shared" si="8"/>
        <v>1.05</v>
      </c>
      <c r="K36" s="25" t="s">
        <v>38</v>
      </c>
      <c r="L36" s="26">
        <v>1.99</v>
      </c>
      <c r="M36" s="27">
        <f t="shared" si="9"/>
        <v>1.99</v>
      </c>
      <c r="N36" s="25" t="s">
        <v>38</v>
      </c>
      <c r="O36" s="26">
        <v>3.55</v>
      </c>
      <c r="P36" s="27">
        <f t="shared" si="10"/>
        <v>3.55</v>
      </c>
      <c r="Q36" s="25" t="s">
        <v>38</v>
      </c>
      <c r="R36" s="26">
        <v>0.78</v>
      </c>
      <c r="S36" s="27">
        <f t="shared" si="11"/>
        <v>0.78</v>
      </c>
      <c r="V36" s="30"/>
      <c r="W36" s="4"/>
      <c r="Y36" s="88">
        <f t="shared" si="0"/>
        <v>0</v>
      </c>
      <c r="Z36" s="88">
        <f t="shared" si="1"/>
        <v>0</v>
      </c>
      <c r="AA36" s="89">
        <f t="shared" si="2"/>
        <v>0</v>
      </c>
      <c r="AB36" s="89">
        <f t="shared" si="3"/>
        <v>0</v>
      </c>
      <c r="AC36" s="30">
        <f t="shared" si="4"/>
        <v>0</v>
      </c>
      <c r="AD36" s="30">
        <f t="shared" si="5"/>
        <v>0</v>
      </c>
    </row>
    <row r="37" spans="1:30" s="28" customFormat="1" ht="16.5" customHeight="1">
      <c r="A37" s="40" t="s">
        <v>65</v>
      </c>
      <c r="B37" s="32" t="s">
        <v>38</v>
      </c>
      <c r="C37" s="24">
        <v>1.01</v>
      </c>
      <c r="D37" s="51">
        <f t="shared" si="6"/>
        <v>1.01</v>
      </c>
      <c r="E37" s="25" t="s">
        <v>38</v>
      </c>
      <c r="F37" s="26">
        <v>1.81</v>
      </c>
      <c r="G37" s="27">
        <f t="shared" si="7"/>
        <v>1.81</v>
      </c>
      <c r="H37" s="25" t="s">
        <v>38</v>
      </c>
      <c r="I37" s="26">
        <v>1.61</v>
      </c>
      <c r="J37" s="27">
        <f t="shared" si="8"/>
        <v>1.61</v>
      </c>
      <c r="K37" s="25" t="s">
        <v>38</v>
      </c>
      <c r="L37" s="26">
        <v>1.54</v>
      </c>
      <c r="M37" s="27">
        <f t="shared" si="9"/>
        <v>1.54</v>
      </c>
      <c r="N37" s="25" t="s">
        <v>38</v>
      </c>
      <c r="O37" s="26">
        <v>1.85</v>
      </c>
      <c r="P37" s="27">
        <f t="shared" si="10"/>
        <v>1.85</v>
      </c>
      <c r="Q37" s="25" t="s">
        <v>38</v>
      </c>
      <c r="R37" s="26">
        <v>1.13</v>
      </c>
      <c r="S37" s="27">
        <f t="shared" si="11"/>
        <v>1.13</v>
      </c>
      <c r="V37" s="30"/>
      <c r="W37" s="4"/>
      <c r="Y37" s="88">
        <f t="shared" si="0"/>
        <v>0</v>
      </c>
      <c r="Z37" s="88">
        <f t="shared" si="1"/>
        <v>0</v>
      </c>
      <c r="AA37" s="89">
        <f t="shared" si="2"/>
        <v>0</v>
      </c>
      <c r="AB37" s="89">
        <f t="shared" si="3"/>
        <v>0</v>
      </c>
      <c r="AC37" s="30">
        <f t="shared" si="4"/>
        <v>0</v>
      </c>
      <c r="AD37" s="30">
        <f t="shared" si="5"/>
        <v>0</v>
      </c>
    </row>
    <row r="38" spans="1:30" s="28" customFormat="1" ht="15.75">
      <c r="A38" s="40" t="s">
        <v>66</v>
      </c>
      <c r="B38" s="32" t="s">
        <v>38</v>
      </c>
      <c r="C38" s="24">
        <v>3.49</v>
      </c>
      <c r="D38" s="51">
        <f t="shared" si="6"/>
        <v>3.49</v>
      </c>
      <c r="E38" s="25" t="s">
        <v>38</v>
      </c>
      <c r="F38" s="26">
        <v>2.64</v>
      </c>
      <c r="G38" s="27">
        <f t="shared" si="7"/>
        <v>2.64</v>
      </c>
      <c r="H38" s="25" t="s">
        <v>38</v>
      </c>
      <c r="I38" s="26">
        <v>3.18</v>
      </c>
      <c r="J38" s="27">
        <f t="shared" si="8"/>
        <v>3.18</v>
      </c>
      <c r="K38" s="25" t="s">
        <v>38</v>
      </c>
      <c r="L38" s="26">
        <v>3.05</v>
      </c>
      <c r="M38" s="27">
        <f t="shared" si="9"/>
        <v>3.05</v>
      </c>
      <c r="N38" s="25" t="s">
        <v>38</v>
      </c>
      <c r="O38" s="26">
        <v>4.98</v>
      </c>
      <c r="P38" s="27">
        <f t="shared" si="10"/>
        <v>4.98</v>
      </c>
      <c r="Q38" s="25" t="s">
        <v>38</v>
      </c>
      <c r="R38" s="26">
        <v>3.26</v>
      </c>
      <c r="S38" s="27">
        <f t="shared" si="11"/>
        <v>3.26</v>
      </c>
      <c r="V38" s="30" t="s">
        <v>152</v>
      </c>
      <c r="W38" s="4"/>
      <c r="Y38" s="88">
        <f aca="true" t="shared" si="12" ref="Y38:Y67">W38*D38</f>
        <v>0</v>
      </c>
      <c r="Z38" s="88">
        <f aca="true" t="shared" si="13" ref="Z38:Z67">W38*G38</f>
        <v>0</v>
      </c>
      <c r="AA38" s="89">
        <f aca="true" t="shared" si="14" ref="AA38:AA67">W38*J38</f>
        <v>0</v>
      </c>
      <c r="AB38" s="89">
        <f aca="true" t="shared" si="15" ref="AB38:AB67">W38*M38</f>
        <v>0</v>
      </c>
      <c r="AC38" s="30">
        <f t="shared" si="4"/>
        <v>0</v>
      </c>
      <c r="AD38" s="30">
        <f t="shared" si="5"/>
        <v>0</v>
      </c>
    </row>
    <row r="39" spans="1:30" s="28" customFormat="1" ht="25.5">
      <c r="A39" s="40" t="s">
        <v>17</v>
      </c>
      <c r="B39" s="32" t="s">
        <v>94</v>
      </c>
      <c r="C39" s="24">
        <v>0.81</v>
      </c>
      <c r="D39" s="51">
        <f t="shared" si="6"/>
        <v>0.81</v>
      </c>
      <c r="E39" s="25" t="s">
        <v>38</v>
      </c>
      <c r="F39" s="26">
        <v>0.61</v>
      </c>
      <c r="G39" s="27">
        <f t="shared" si="7"/>
        <v>0.61</v>
      </c>
      <c r="H39" s="32" t="s">
        <v>94</v>
      </c>
      <c r="I39" s="26">
        <v>0.79</v>
      </c>
      <c r="J39" s="27">
        <f t="shared" si="8"/>
        <v>0.79</v>
      </c>
      <c r="K39" s="25" t="s">
        <v>38</v>
      </c>
      <c r="L39" s="26">
        <v>0.68</v>
      </c>
      <c r="M39" s="27">
        <f t="shared" si="9"/>
        <v>0.68</v>
      </c>
      <c r="N39" s="25" t="s">
        <v>38</v>
      </c>
      <c r="O39" s="26">
        <v>0.7</v>
      </c>
      <c r="P39" s="27">
        <f t="shared" si="10"/>
        <v>0.7</v>
      </c>
      <c r="Q39" s="25" t="s">
        <v>38</v>
      </c>
      <c r="R39" s="26">
        <v>0.69</v>
      </c>
      <c r="S39" s="27">
        <f t="shared" si="11"/>
        <v>0.69</v>
      </c>
      <c r="V39" s="30"/>
      <c r="W39" s="4"/>
      <c r="Y39" s="88">
        <f t="shared" si="12"/>
        <v>0</v>
      </c>
      <c r="Z39" s="88">
        <f t="shared" si="13"/>
        <v>0</v>
      </c>
      <c r="AA39" s="89">
        <f t="shared" si="14"/>
        <v>0</v>
      </c>
      <c r="AB39" s="89">
        <f t="shared" si="15"/>
        <v>0</v>
      </c>
      <c r="AC39" s="30">
        <f t="shared" si="4"/>
        <v>0</v>
      </c>
      <c r="AD39" s="30">
        <f t="shared" si="5"/>
        <v>0</v>
      </c>
    </row>
    <row r="40" spans="1:30" s="28" customFormat="1" ht="15.75">
      <c r="A40" s="40" t="s">
        <v>5</v>
      </c>
      <c r="B40" s="32" t="s">
        <v>38</v>
      </c>
      <c r="C40" s="24">
        <v>8.05</v>
      </c>
      <c r="D40" s="51">
        <f t="shared" si="6"/>
        <v>8.05</v>
      </c>
      <c r="E40" s="25" t="s">
        <v>38</v>
      </c>
      <c r="F40" s="26">
        <v>1.86</v>
      </c>
      <c r="G40" s="27">
        <f t="shared" si="7"/>
        <v>1.86</v>
      </c>
      <c r="H40" s="25" t="s">
        <v>38</v>
      </c>
      <c r="I40" s="26">
        <v>2.49</v>
      </c>
      <c r="J40" s="27">
        <f t="shared" si="8"/>
        <v>2.49</v>
      </c>
      <c r="K40" s="25" t="s">
        <v>38</v>
      </c>
      <c r="L40" s="26">
        <v>2.3</v>
      </c>
      <c r="M40" s="27">
        <f t="shared" si="9"/>
        <v>2.3</v>
      </c>
      <c r="N40" s="25" t="s">
        <v>38</v>
      </c>
      <c r="O40" s="26">
        <v>14.2</v>
      </c>
      <c r="P40" s="27">
        <f t="shared" si="10"/>
        <v>14.2</v>
      </c>
      <c r="Q40" s="25" t="s">
        <v>38</v>
      </c>
      <c r="R40" s="62">
        <v>14.2</v>
      </c>
      <c r="S40" s="80">
        <f t="shared" si="11"/>
        <v>14.2</v>
      </c>
      <c r="V40" s="30"/>
      <c r="W40" s="4"/>
      <c r="Y40" s="88">
        <f t="shared" si="12"/>
        <v>0</v>
      </c>
      <c r="Z40" s="88">
        <f t="shared" si="13"/>
        <v>0</v>
      </c>
      <c r="AA40" s="89">
        <f t="shared" si="14"/>
        <v>0</v>
      </c>
      <c r="AB40" s="89">
        <f t="shared" si="15"/>
        <v>0</v>
      </c>
      <c r="AC40" s="30">
        <f t="shared" si="4"/>
        <v>0</v>
      </c>
      <c r="AD40" s="30">
        <f t="shared" si="5"/>
        <v>0</v>
      </c>
    </row>
    <row r="41" spans="1:30" s="28" customFormat="1" ht="15.75">
      <c r="A41" s="40" t="s">
        <v>11</v>
      </c>
      <c r="B41" s="32" t="s">
        <v>38</v>
      </c>
      <c r="C41" s="24">
        <v>5.46</v>
      </c>
      <c r="D41" s="51">
        <f t="shared" si="6"/>
        <v>5.46</v>
      </c>
      <c r="E41" s="25" t="s">
        <v>38</v>
      </c>
      <c r="F41" s="26">
        <v>1.7</v>
      </c>
      <c r="G41" s="27">
        <f t="shared" si="7"/>
        <v>1.7</v>
      </c>
      <c r="H41" s="25" t="s">
        <v>38</v>
      </c>
      <c r="I41" s="26">
        <v>3.18</v>
      </c>
      <c r="J41" s="27">
        <f t="shared" si="8"/>
        <v>3.18</v>
      </c>
      <c r="K41" s="25" t="s">
        <v>38</v>
      </c>
      <c r="L41" s="26">
        <v>6.08</v>
      </c>
      <c r="M41" s="27">
        <f t="shared" si="9"/>
        <v>6.08</v>
      </c>
      <c r="N41" s="25" t="s">
        <v>38</v>
      </c>
      <c r="O41" s="26">
        <v>6.4</v>
      </c>
      <c r="P41" s="27">
        <f t="shared" si="10"/>
        <v>6.4</v>
      </c>
      <c r="Q41" s="25" t="s">
        <v>38</v>
      </c>
      <c r="R41" s="26">
        <v>3.97</v>
      </c>
      <c r="S41" s="27">
        <f t="shared" si="11"/>
        <v>3.97</v>
      </c>
      <c r="V41" s="30"/>
      <c r="W41" s="4"/>
      <c r="Y41" s="88">
        <f t="shared" si="12"/>
        <v>0</v>
      </c>
      <c r="Z41" s="88">
        <f t="shared" si="13"/>
        <v>0</v>
      </c>
      <c r="AA41" s="89">
        <f t="shared" si="14"/>
        <v>0</v>
      </c>
      <c r="AB41" s="90">
        <f t="shared" si="15"/>
        <v>0</v>
      </c>
      <c r="AC41" s="30">
        <f t="shared" si="4"/>
        <v>0</v>
      </c>
      <c r="AD41" s="30">
        <f t="shared" si="5"/>
        <v>0</v>
      </c>
    </row>
    <row r="42" spans="1:30" s="28" customFormat="1" ht="15.75">
      <c r="A42" s="40" t="s">
        <v>27</v>
      </c>
      <c r="B42" s="32" t="s">
        <v>38</v>
      </c>
      <c r="C42" s="24">
        <v>0.95</v>
      </c>
      <c r="D42" s="51">
        <f t="shared" si="6"/>
        <v>0.95</v>
      </c>
      <c r="E42" s="25" t="s">
        <v>38</v>
      </c>
      <c r="F42" s="26">
        <v>1.03</v>
      </c>
      <c r="G42" s="27">
        <f t="shared" si="7"/>
        <v>1.03</v>
      </c>
      <c r="H42" s="25" t="s">
        <v>38</v>
      </c>
      <c r="I42" s="26">
        <v>1.27</v>
      </c>
      <c r="J42" s="27">
        <f t="shared" si="8"/>
        <v>1.27</v>
      </c>
      <c r="K42" s="25" t="s">
        <v>38</v>
      </c>
      <c r="L42" s="26">
        <v>1.65</v>
      </c>
      <c r="M42" s="27">
        <f t="shared" si="9"/>
        <v>1.65</v>
      </c>
      <c r="N42" s="25" t="s">
        <v>38</v>
      </c>
      <c r="O42" s="26">
        <v>1.7</v>
      </c>
      <c r="P42" s="27">
        <f t="shared" si="10"/>
        <v>1.7</v>
      </c>
      <c r="Q42" s="25" t="s">
        <v>38</v>
      </c>
      <c r="R42" s="26">
        <v>1.19</v>
      </c>
      <c r="S42" s="27">
        <f t="shared" si="11"/>
        <v>1.19</v>
      </c>
      <c r="V42" s="30"/>
      <c r="W42" s="4"/>
      <c r="Y42" s="88">
        <f t="shared" si="12"/>
        <v>0</v>
      </c>
      <c r="Z42" s="88">
        <f t="shared" si="13"/>
        <v>0</v>
      </c>
      <c r="AA42" s="89">
        <f t="shared" si="14"/>
        <v>0</v>
      </c>
      <c r="AB42" s="89">
        <f t="shared" si="15"/>
        <v>0</v>
      </c>
      <c r="AC42" s="30">
        <f t="shared" si="4"/>
        <v>0</v>
      </c>
      <c r="AD42" s="30">
        <f t="shared" si="5"/>
        <v>0</v>
      </c>
    </row>
    <row r="43" spans="1:30" s="28" customFormat="1" ht="15.75">
      <c r="A43" s="40" t="s">
        <v>18</v>
      </c>
      <c r="B43" s="32" t="s">
        <v>38</v>
      </c>
      <c r="C43" s="24">
        <v>2.59</v>
      </c>
      <c r="D43" s="51">
        <f t="shared" si="6"/>
        <v>2.59</v>
      </c>
      <c r="E43" s="25" t="s">
        <v>38</v>
      </c>
      <c r="F43" s="26">
        <v>2.38</v>
      </c>
      <c r="G43" s="27">
        <f t="shared" si="7"/>
        <v>2.38</v>
      </c>
      <c r="H43" s="25" t="s">
        <v>117</v>
      </c>
      <c r="I43" s="26">
        <v>2.47</v>
      </c>
      <c r="J43" s="27">
        <f t="shared" si="8"/>
        <v>2.47</v>
      </c>
      <c r="K43" s="25" t="s">
        <v>38</v>
      </c>
      <c r="L43" s="26">
        <v>3.4</v>
      </c>
      <c r="M43" s="27">
        <f t="shared" si="9"/>
        <v>3.4</v>
      </c>
      <c r="N43" s="25" t="s">
        <v>38</v>
      </c>
      <c r="O43" s="26">
        <v>3.03</v>
      </c>
      <c r="P43" s="27">
        <f t="shared" si="10"/>
        <v>3.03</v>
      </c>
      <c r="Q43" s="25" t="s">
        <v>38</v>
      </c>
      <c r="R43" s="26">
        <v>2.46</v>
      </c>
      <c r="S43" s="27">
        <f t="shared" si="11"/>
        <v>2.46</v>
      </c>
      <c r="V43" s="30"/>
      <c r="W43" s="4"/>
      <c r="Y43" s="88">
        <f t="shared" si="12"/>
        <v>0</v>
      </c>
      <c r="Z43" s="88">
        <f t="shared" si="13"/>
        <v>0</v>
      </c>
      <c r="AA43" s="89">
        <f t="shared" si="14"/>
        <v>0</v>
      </c>
      <c r="AB43" s="89">
        <f t="shared" si="15"/>
        <v>0</v>
      </c>
      <c r="AC43" s="30">
        <f t="shared" si="4"/>
        <v>0</v>
      </c>
      <c r="AD43" s="30">
        <f t="shared" si="5"/>
        <v>0</v>
      </c>
    </row>
    <row r="44" spans="1:30" s="28" customFormat="1" ht="15.75">
      <c r="A44" s="40" t="s">
        <v>19</v>
      </c>
      <c r="B44" s="32" t="s">
        <v>38</v>
      </c>
      <c r="C44" s="24">
        <v>2.39</v>
      </c>
      <c r="D44" s="51">
        <f t="shared" si="6"/>
        <v>2.39</v>
      </c>
      <c r="E44" s="25" t="s">
        <v>38</v>
      </c>
      <c r="F44" s="26">
        <v>1.84</v>
      </c>
      <c r="G44" s="27">
        <f t="shared" si="7"/>
        <v>1.84</v>
      </c>
      <c r="H44" s="25" t="s">
        <v>118</v>
      </c>
      <c r="I44" s="26">
        <v>1.78</v>
      </c>
      <c r="J44" s="27">
        <f t="shared" si="8"/>
        <v>1.78</v>
      </c>
      <c r="K44" s="25" t="s">
        <v>38</v>
      </c>
      <c r="L44" s="26">
        <v>1.7</v>
      </c>
      <c r="M44" s="27">
        <f t="shared" si="9"/>
        <v>1.7</v>
      </c>
      <c r="N44" s="25" t="s">
        <v>38</v>
      </c>
      <c r="O44" s="26">
        <v>1.95</v>
      </c>
      <c r="P44" s="27">
        <f t="shared" si="10"/>
        <v>1.95</v>
      </c>
      <c r="Q44" s="25" t="s">
        <v>38</v>
      </c>
      <c r="R44" s="26">
        <v>2</v>
      </c>
      <c r="S44" s="27">
        <f t="shared" si="11"/>
        <v>2</v>
      </c>
      <c r="V44" s="30"/>
      <c r="W44" s="4"/>
      <c r="Y44" s="88">
        <f t="shared" si="12"/>
        <v>0</v>
      </c>
      <c r="Z44" s="88">
        <f t="shared" si="13"/>
        <v>0</v>
      </c>
      <c r="AA44" s="89">
        <f t="shared" si="14"/>
        <v>0</v>
      </c>
      <c r="AB44" s="89">
        <f t="shared" si="15"/>
        <v>0</v>
      </c>
      <c r="AC44" s="30">
        <f t="shared" si="4"/>
        <v>0</v>
      </c>
      <c r="AD44" s="30">
        <f t="shared" si="5"/>
        <v>0</v>
      </c>
    </row>
    <row r="45" spans="1:30" s="28" customFormat="1" ht="15.75">
      <c r="A45" s="40" t="s">
        <v>67</v>
      </c>
      <c r="B45" s="32" t="s">
        <v>38</v>
      </c>
      <c r="C45" s="24">
        <v>2.59</v>
      </c>
      <c r="D45" s="51">
        <f t="shared" si="6"/>
        <v>2.59</v>
      </c>
      <c r="E45" s="25" t="s">
        <v>38</v>
      </c>
      <c r="F45" s="26">
        <v>2.69</v>
      </c>
      <c r="G45" s="27">
        <f t="shared" si="7"/>
        <v>2.69</v>
      </c>
      <c r="H45" s="25" t="s">
        <v>117</v>
      </c>
      <c r="I45" s="26">
        <v>2.37</v>
      </c>
      <c r="J45" s="27">
        <f t="shared" si="8"/>
        <v>2.37</v>
      </c>
      <c r="K45" s="25" t="s">
        <v>38</v>
      </c>
      <c r="L45" s="26">
        <v>3.4</v>
      </c>
      <c r="M45" s="27">
        <f t="shared" si="9"/>
        <v>3.4</v>
      </c>
      <c r="N45" s="25" t="s">
        <v>38</v>
      </c>
      <c r="O45" s="26">
        <v>3.25</v>
      </c>
      <c r="P45" s="27">
        <f t="shared" si="10"/>
        <v>3.25</v>
      </c>
      <c r="Q45" s="25" t="s">
        <v>38</v>
      </c>
      <c r="R45" s="26">
        <v>2.4</v>
      </c>
      <c r="S45" s="27">
        <f t="shared" si="11"/>
        <v>2.4</v>
      </c>
      <c r="V45" s="30"/>
      <c r="W45" s="4"/>
      <c r="Y45" s="88">
        <f t="shared" si="12"/>
        <v>0</v>
      </c>
      <c r="Z45" s="88">
        <f t="shared" si="13"/>
        <v>0</v>
      </c>
      <c r="AA45" s="91">
        <f t="shared" si="14"/>
        <v>0</v>
      </c>
      <c r="AB45" s="91">
        <f t="shared" si="15"/>
        <v>0</v>
      </c>
      <c r="AC45" s="30">
        <f t="shared" si="4"/>
        <v>0</v>
      </c>
      <c r="AD45" s="30">
        <f t="shared" si="5"/>
        <v>0</v>
      </c>
    </row>
    <row r="46" spans="1:30" s="28" customFormat="1" ht="15.75">
      <c r="A46" s="40" t="s">
        <v>20</v>
      </c>
      <c r="B46" s="32" t="s">
        <v>38</v>
      </c>
      <c r="C46" s="24">
        <v>32.45</v>
      </c>
      <c r="D46" s="51">
        <f t="shared" si="6"/>
        <v>32.45</v>
      </c>
      <c r="E46" s="25" t="s">
        <v>38</v>
      </c>
      <c r="F46" s="26">
        <v>31.31</v>
      </c>
      <c r="G46" s="27">
        <f t="shared" si="7"/>
        <v>31.31</v>
      </c>
      <c r="H46" s="25" t="s">
        <v>38</v>
      </c>
      <c r="I46" s="26">
        <v>34.5</v>
      </c>
      <c r="J46" s="27">
        <f t="shared" si="8"/>
        <v>34.5</v>
      </c>
      <c r="K46" s="25" t="s">
        <v>38</v>
      </c>
      <c r="L46" s="26">
        <v>39.9</v>
      </c>
      <c r="M46" s="27">
        <f t="shared" si="9"/>
        <v>39.9</v>
      </c>
      <c r="N46" s="25" t="s">
        <v>38</v>
      </c>
      <c r="O46" s="26">
        <v>40.55</v>
      </c>
      <c r="P46" s="27">
        <f t="shared" si="10"/>
        <v>40.55</v>
      </c>
      <c r="Q46" s="25" t="s">
        <v>38</v>
      </c>
      <c r="R46" s="26">
        <v>29.54</v>
      </c>
      <c r="S46" s="27">
        <f t="shared" si="11"/>
        <v>29.54</v>
      </c>
      <c r="V46" s="30"/>
      <c r="W46" s="4"/>
      <c r="Y46" s="88">
        <f t="shared" si="12"/>
        <v>0</v>
      </c>
      <c r="Z46" s="88">
        <f t="shared" si="13"/>
        <v>0</v>
      </c>
      <c r="AA46" s="89">
        <f t="shared" si="14"/>
        <v>0</v>
      </c>
      <c r="AB46" s="89">
        <f t="shared" si="15"/>
        <v>0</v>
      </c>
      <c r="AC46" s="30">
        <f t="shared" si="4"/>
        <v>0</v>
      </c>
      <c r="AD46" s="30">
        <f t="shared" si="5"/>
        <v>0</v>
      </c>
    </row>
    <row r="47" spans="1:30" s="28" customFormat="1" ht="38.25">
      <c r="A47" s="40" t="s">
        <v>21</v>
      </c>
      <c r="B47" s="14" t="s">
        <v>95</v>
      </c>
      <c r="C47" s="24">
        <v>16.72</v>
      </c>
      <c r="D47" s="51">
        <f>C47/16</f>
        <v>1.045</v>
      </c>
      <c r="E47" s="14" t="s">
        <v>101</v>
      </c>
      <c r="F47" s="26">
        <v>2.5</v>
      </c>
      <c r="G47" s="27">
        <f>F47/4</f>
        <v>0.625</v>
      </c>
      <c r="H47" s="14" t="s">
        <v>101</v>
      </c>
      <c r="I47" s="26">
        <v>2.36</v>
      </c>
      <c r="J47" s="27">
        <f>I47/4</f>
        <v>0.59</v>
      </c>
      <c r="K47" s="14" t="s">
        <v>123</v>
      </c>
      <c r="L47" s="26">
        <v>2.9</v>
      </c>
      <c r="M47" s="27">
        <f>L47/3</f>
        <v>0.9666666666666667</v>
      </c>
      <c r="N47" s="14" t="s">
        <v>103</v>
      </c>
      <c r="O47" s="26">
        <v>10.63</v>
      </c>
      <c r="P47" s="27">
        <f>O47/5</f>
        <v>2.1260000000000003</v>
      </c>
      <c r="Q47" s="14" t="s">
        <v>123</v>
      </c>
      <c r="R47" s="26">
        <v>3.56</v>
      </c>
      <c r="S47" s="27">
        <f>R47/3</f>
        <v>1.1866666666666668</v>
      </c>
      <c r="V47" s="30"/>
      <c r="W47" s="4"/>
      <c r="Y47" s="88">
        <f t="shared" si="12"/>
        <v>0</v>
      </c>
      <c r="Z47" s="88">
        <f t="shared" si="13"/>
        <v>0</v>
      </c>
      <c r="AA47" s="89">
        <f t="shared" si="14"/>
        <v>0</v>
      </c>
      <c r="AB47" s="89">
        <f t="shared" si="15"/>
        <v>0</v>
      </c>
      <c r="AC47" s="30">
        <f t="shared" si="4"/>
        <v>0</v>
      </c>
      <c r="AD47" s="30">
        <f t="shared" si="5"/>
        <v>0</v>
      </c>
    </row>
    <row r="48" spans="1:30" s="28" customFormat="1" ht="15.75">
      <c r="A48" s="40" t="s">
        <v>22</v>
      </c>
      <c r="B48" s="32" t="s">
        <v>38</v>
      </c>
      <c r="C48" s="24">
        <v>1.33</v>
      </c>
      <c r="D48" s="51">
        <f>C48/1</f>
        <v>1.33</v>
      </c>
      <c r="E48" s="25" t="s">
        <v>38</v>
      </c>
      <c r="F48" s="26">
        <v>1.07</v>
      </c>
      <c r="G48" s="27">
        <f>F48/1</f>
        <v>1.07</v>
      </c>
      <c r="H48" s="25" t="s">
        <v>38</v>
      </c>
      <c r="I48" s="26">
        <v>1.4</v>
      </c>
      <c r="J48" s="27">
        <f>I48/1</f>
        <v>1.4</v>
      </c>
      <c r="K48" s="25" t="s">
        <v>38</v>
      </c>
      <c r="L48" s="26">
        <v>1.9</v>
      </c>
      <c r="M48" s="27">
        <f>L48/1</f>
        <v>1.9</v>
      </c>
      <c r="N48" s="25" t="s">
        <v>38</v>
      </c>
      <c r="O48" s="26">
        <v>4.94</v>
      </c>
      <c r="P48" s="27">
        <f>O48/1</f>
        <v>4.94</v>
      </c>
      <c r="Q48" s="25" t="s">
        <v>38</v>
      </c>
      <c r="R48" s="26">
        <v>1.18</v>
      </c>
      <c r="S48" s="27">
        <f>R48/1</f>
        <v>1.18</v>
      </c>
      <c r="V48" s="30"/>
      <c r="W48" s="4"/>
      <c r="Y48" s="88">
        <f t="shared" si="12"/>
        <v>0</v>
      </c>
      <c r="Z48" s="88">
        <f t="shared" si="13"/>
        <v>0</v>
      </c>
      <c r="AA48" s="89">
        <f t="shared" si="14"/>
        <v>0</v>
      </c>
      <c r="AB48" s="89">
        <f t="shared" si="15"/>
        <v>0</v>
      </c>
      <c r="AC48" s="30">
        <f t="shared" si="4"/>
        <v>0</v>
      </c>
      <c r="AD48" s="30">
        <f t="shared" si="5"/>
        <v>0</v>
      </c>
    </row>
    <row r="49" spans="1:30" s="28" customFormat="1" ht="15.75">
      <c r="A49" s="40" t="s">
        <v>28</v>
      </c>
      <c r="B49" s="32" t="s">
        <v>33</v>
      </c>
      <c r="C49" s="24">
        <v>19.5</v>
      </c>
      <c r="D49" s="51">
        <f>C49/1</f>
        <v>19.5</v>
      </c>
      <c r="E49" s="32" t="s">
        <v>33</v>
      </c>
      <c r="F49" s="26">
        <v>41.53</v>
      </c>
      <c r="G49" s="27">
        <f>F49/1</f>
        <v>41.53</v>
      </c>
      <c r="H49" s="32" t="s">
        <v>33</v>
      </c>
      <c r="I49" s="26">
        <v>18.5</v>
      </c>
      <c r="J49" s="27">
        <f>I49/1</f>
        <v>18.5</v>
      </c>
      <c r="K49" s="32" t="s">
        <v>33</v>
      </c>
      <c r="L49" s="26">
        <v>22.8</v>
      </c>
      <c r="M49" s="27">
        <f>L49/1</f>
        <v>22.8</v>
      </c>
      <c r="N49" s="32" t="s">
        <v>33</v>
      </c>
      <c r="O49" s="62">
        <v>41.53</v>
      </c>
      <c r="P49" s="80">
        <f>O49/1</f>
        <v>41.53</v>
      </c>
      <c r="Q49" s="32" t="s">
        <v>33</v>
      </c>
      <c r="R49" s="62">
        <v>41.53</v>
      </c>
      <c r="S49" s="80">
        <f>R49/1</f>
        <v>41.53</v>
      </c>
      <c r="V49" s="30"/>
      <c r="W49" s="4"/>
      <c r="Y49" s="88">
        <f t="shared" si="12"/>
        <v>0</v>
      </c>
      <c r="Z49" s="88">
        <f t="shared" si="13"/>
        <v>0</v>
      </c>
      <c r="AA49" s="89">
        <f t="shared" si="14"/>
        <v>0</v>
      </c>
      <c r="AB49" s="89">
        <f t="shared" si="15"/>
        <v>0</v>
      </c>
      <c r="AC49" s="30">
        <f t="shared" si="4"/>
        <v>0</v>
      </c>
      <c r="AD49" s="30">
        <f t="shared" si="5"/>
        <v>0</v>
      </c>
    </row>
    <row r="50" spans="1:30" ht="25.5">
      <c r="A50" s="40" t="s">
        <v>68</v>
      </c>
      <c r="B50" s="32" t="s">
        <v>96</v>
      </c>
      <c r="C50" s="30">
        <v>0.89</v>
      </c>
      <c r="D50" s="51">
        <f>C50/1</f>
        <v>0.89</v>
      </c>
      <c r="E50" s="25" t="s">
        <v>38</v>
      </c>
      <c r="F50" s="30">
        <v>0.94</v>
      </c>
      <c r="G50" s="27">
        <f>F50/1</f>
        <v>0.94</v>
      </c>
      <c r="H50" s="32" t="s">
        <v>119</v>
      </c>
      <c r="I50" s="30">
        <v>18.6</v>
      </c>
      <c r="J50" s="55">
        <f>I50/12</f>
        <v>1.55</v>
      </c>
      <c r="K50" s="25" t="s">
        <v>38</v>
      </c>
      <c r="L50" s="30">
        <v>1.65</v>
      </c>
      <c r="M50" s="16">
        <f>L50/1</f>
        <v>1.65</v>
      </c>
      <c r="N50" s="32" t="s">
        <v>33</v>
      </c>
      <c r="O50" s="30">
        <v>2.46</v>
      </c>
      <c r="P50" s="55">
        <f>O50/1</f>
        <v>2.46</v>
      </c>
      <c r="Q50" s="25" t="s">
        <v>34</v>
      </c>
      <c r="R50" s="30">
        <v>3.03</v>
      </c>
      <c r="S50" s="55">
        <f>R50/100</f>
        <v>0.030299999999999997</v>
      </c>
      <c r="V50" s="35"/>
      <c r="W50" s="35"/>
      <c r="Y50" s="88">
        <f t="shared" si="12"/>
        <v>0</v>
      </c>
      <c r="Z50" s="88">
        <f t="shared" si="13"/>
        <v>0</v>
      </c>
      <c r="AA50" s="89">
        <f t="shared" si="14"/>
        <v>0</v>
      </c>
      <c r="AB50" s="89">
        <f t="shared" si="15"/>
        <v>0</v>
      </c>
      <c r="AC50" s="30">
        <f t="shared" si="4"/>
        <v>0</v>
      </c>
      <c r="AD50" s="35">
        <f t="shared" si="5"/>
        <v>0</v>
      </c>
    </row>
    <row r="51" spans="1:30" ht="25.5">
      <c r="A51" s="40" t="s">
        <v>69</v>
      </c>
      <c r="B51" s="32" t="s">
        <v>98</v>
      </c>
      <c r="C51" s="5">
        <v>3.5</v>
      </c>
      <c r="D51" s="51">
        <f>C51/100</f>
        <v>0.035</v>
      </c>
      <c r="E51" s="25" t="s">
        <v>38</v>
      </c>
      <c r="F51" s="30">
        <v>3.49</v>
      </c>
      <c r="G51" s="52">
        <f>F51/100</f>
        <v>0.0349</v>
      </c>
      <c r="H51" s="25" t="s">
        <v>34</v>
      </c>
      <c r="I51" s="30">
        <v>3.5</v>
      </c>
      <c r="J51" s="55">
        <f>I51/100</f>
        <v>0.035</v>
      </c>
      <c r="K51" s="25" t="s">
        <v>38</v>
      </c>
      <c r="L51" s="30">
        <v>1.39</v>
      </c>
      <c r="M51" s="16">
        <f>L51/1</f>
        <v>1.39</v>
      </c>
      <c r="N51" s="25" t="s">
        <v>34</v>
      </c>
      <c r="O51" s="30">
        <v>6.2</v>
      </c>
      <c r="P51" s="55">
        <f>O51/100</f>
        <v>0.062</v>
      </c>
      <c r="Q51" s="25" t="s">
        <v>34</v>
      </c>
      <c r="R51" s="30">
        <v>3.03</v>
      </c>
      <c r="S51" s="55">
        <f>R51/100</f>
        <v>0.030299999999999997</v>
      </c>
      <c r="V51" s="35"/>
      <c r="W51" s="35"/>
      <c r="Y51" s="88">
        <f t="shared" si="12"/>
        <v>0</v>
      </c>
      <c r="Z51" s="88">
        <f t="shared" si="13"/>
        <v>0</v>
      </c>
      <c r="AA51" s="89">
        <f t="shared" si="14"/>
        <v>0</v>
      </c>
      <c r="AB51" s="89">
        <f t="shared" si="15"/>
        <v>0</v>
      </c>
      <c r="AC51" s="30">
        <f t="shared" si="4"/>
        <v>0</v>
      </c>
      <c r="AD51" s="35">
        <f t="shared" si="5"/>
        <v>0</v>
      </c>
    </row>
    <row r="52" spans="1:30" ht="25.5">
      <c r="A52" s="93" t="s">
        <v>70</v>
      </c>
      <c r="B52" s="32" t="s">
        <v>97</v>
      </c>
      <c r="C52" s="94">
        <v>0.45</v>
      </c>
      <c r="D52" s="51">
        <f>C52/1</f>
        <v>0.45</v>
      </c>
      <c r="E52" s="32" t="s">
        <v>33</v>
      </c>
      <c r="F52" s="94">
        <v>2.37</v>
      </c>
      <c r="G52" s="27">
        <f>F52/1</f>
        <v>2.37</v>
      </c>
      <c r="H52" s="32" t="s">
        <v>119</v>
      </c>
      <c r="I52" s="94">
        <v>20.88</v>
      </c>
      <c r="J52" s="95">
        <f>I52/12</f>
        <v>1.74</v>
      </c>
      <c r="K52" s="32" t="s">
        <v>33</v>
      </c>
      <c r="L52" s="94">
        <v>1.65</v>
      </c>
      <c r="M52" s="27">
        <f>L52/1</f>
        <v>1.65</v>
      </c>
      <c r="N52" s="25" t="s">
        <v>34</v>
      </c>
      <c r="O52" s="94">
        <v>5.2</v>
      </c>
      <c r="P52" s="95">
        <f>O52/100</f>
        <v>0.052000000000000005</v>
      </c>
      <c r="Q52" s="25" t="s">
        <v>34</v>
      </c>
      <c r="R52" s="94">
        <v>3.03</v>
      </c>
      <c r="S52" s="95">
        <f>R52/100</f>
        <v>0.030299999999999997</v>
      </c>
      <c r="V52" s="35"/>
      <c r="W52" s="35"/>
      <c r="Y52" s="88">
        <f t="shared" si="12"/>
        <v>0</v>
      </c>
      <c r="Z52" s="88">
        <f t="shared" si="13"/>
        <v>0</v>
      </c>
      <c r="AA52" s="89">
        <f t="shared" si="14"/>
        <v>0</v>
      </c>
      <c r="AB52" s="89">
        <f t="shared" si="15"/>
        <v>0</v>
      </c>
      <c r="AC52" s="30"/>
      <c r="AD52" s="35"/>
    </row>
    <row r="53" spans="1:30" ht="15.75">
      <c r="A53" s="40"/>
      <c r="B53" s="15"/>
      <c r="C53" s="30"/>
      <c r="D53" s="100"/>
      <c r="E53" s="15"/>
      <c r="F53" s="30"/>
      <c r="G53" s="16"/>
      <c r="H53" s="15"/>
      <c r="I53" s="30"/>
      <c r="J53" s="55"/>
      <c r="K53" s="15"/>
      <c r="L53" s="30"/>
      <c r="M53" s="16"/>
      <c r="N53" s="19"/>
      <c r="O53" s="30"/>
      <c r="P53" s="55"/>
      <c r="Q53" s="19"/>
      <c r="R53" s="30"/>
      <c r="S53" s="55"/>
      <c r="V53" s="35"/>
      <c r="W53" s="35"/>
      <c r="Y53" s="88">
        <f t="shared" si="12"/>
        <v>0</v>
      </c>
      <c r="Z53" s="88">
        <f t="shared" si="13"/>
        <v>0</v>
      </c>
      <c r="AA53" s="89">
        <f t="shared" si="14"/>
        <v>0</v>
      </c>
      <c r="AB53" s="89">
        <f t="shared" si="15"/>
        <v>0</v>
      </c>
      <c r="AC53" s="30"/>
      <c r="AD53" s="35"/>
    </row>
    <row r="54" spans="1:30" ht="15.75">
      <c r="A54" s="40"/>
      <c r="B54" s="15"/>
      <c r="C54" s="30"/>
      <c r="D54" s="100"/>
      <c r="E54" s="15"/>
      <c r="F54" s="30"/>
      <c r="G54" s="16"/>
      <c r="H54" s="15"/>
      <c r="I54" s="30"/>
      <c r="J54" s="55"/>
      <c r="K54" s="15"/>
      <c r="L54" s="30"/>
      <c r="M54" s="16"/>
      <c r="N54" s="19"/>
      <c r="O54" s="30"/>
      <c r="P54" s="55"/>
      <c r="Q54" s="19"/>
      <c r="R54" s="30"/>
      <c r="S54" s="55"/>
      <c r="V54" s="35"/>
      <c r="W54" s="35"/>
      <c r="Y54" s="88">
        <f t="shared" si="12"/>
        <v>0</v>
      </c>
      <c r="Z54" s="88">
        <f t="shared" si="13"/>
        <v>0</v>
      </c>
      <c r="AA54" s="89">
        <f t="shared" si="14"/>
        <v>0</v>
      </c>
      <c r="AB54" s="89">
        <f t="shared" si="15"/>
        <v>0</v>
      </c>
      <c r="AC54" s="30"/>
      <c r="AD54" s="35"/>
    </row>
    <row r="55" spans="1:30" ht="15.75">
      <c r="A55" s="40" t="s">
        <v>154</v>
      </c>
      <c r="B55" s="15" t="s">
        <v>159</v>
      </c>
      <c r="C55" s="30">
        <v>11.2</v>
      </c>
      <c r="D55" s="100">
        <f>C55/16</f>
        <v>0.7</v>
      </c>
      <c r="E55" s="15"/>
      <c r="F55" s="105">
        <v>11.2</v>
      </c>
      <c r="G55" s="106">
        <f>F55/16</f>
        <v>0.7</v>
      </c>
      <c r="H55" s="15" t="s">
        <v>161</v>
      </c>
      <c r="I55" s="30">
        <v>2.59</v>
      </c>
      <c r="J55" s="100">
        <f>I55/5</f>
        <v>0.518</v>
      </c>
      <c r="K55" s="15" t="s">
        <v>163</v>
      </c>
      <c r="L55" s="30">
        <v>11.2</v>
      </c>
      <c r="M55" s="100">
        <f>L55/20</f>
        <v>0.5599999999999999</v>
      </c>
      <c r="N55" s="19"/>
      <c r="O55" s="30"/>
      <c r="P55" s="55"/>
      <c r="Q55" s="19"/>
      <c r="R55" s="30"/>
      <c r="S55" s="55"/>
      <c r="V55" s="35" t="s">
        <v>170</v>
      </c>
      <c r="W55" s="35"/>
      <c r="Y55" s="88">
        <f t="shared" si="12"/>
        <v>0</v>
      </c>
      <c r="Z55" s="88">
        <f t="shared" si="13"/>
        <v>0</v>
      </c>
      <c r="AA55" s="89">
        <f t="shared" si="14"/>
        <v>0</v>
      </c>
      <c r="AB55" s="89">
        <f t="shared" si="15"/>
        <v>0</v>
      </c>
      <c r="AC55" s="30"/>
      <c r="AD55" s="35"/>
    </row>
    <row r="56" spans="1:30" ht="15.75">
      <c r="A56" s="40" t="s">
        <v>155</v>
      </c>
      <c r="B56" s="15" t="s">
        <v>160</v>
      </c>
      <c r="C56" s="30">
        <v>49.45</v>
      </c>
      <c r="D56" s="100">
        <f>C56/25</f>
        <v>1.9780000000000002</v>
      </c>
      <c r="E56" s="15"/>
      <c r="F56" s="105">
        <v>49.45</v>
      </c>
      <c r="G56" s="106">
        <f>F56/25</f>
        <v>1.9780000000000002</v>
      </c>
      <c r="H56" s="15" t="s">
        <v>168</v>
      </c>
      <c r="I56" s="30">
        <v>12.48</v>
      </c>
      <c r="J56" s="100">
        <f>I56/12</f>
        <v>1.04</v>
      </c>
      <c r="K56" s="15" t="s">
        <v>164</v>
      </c>
      <c r="L56" s="30">
        <v>47.6</v>
      </c>
      <c r="M56" s="100">
        <f>L56/24</f>
        <v>1.9833333333333334</v>
      </c>
      <c r="N56" s="19"/>
      <c r="O56" s="30"/>
      <c r="P56" s="55"/>
      <c r="Q56" s="19"/>
      <c r="R56" s="30"/>
      <c r="S56" s="55"/>
      <c r="V56" s="35" t="s">
        <v>169</v>
      </c>
      <c r="W56" s="35"/>
      <c r="Y56" s="88">
        <f t="shared" si="12"/>
        <v>0</v>
      </c>
      <c r="Z56" s="88">
        <f t="shared" si="13"/>
        <v>0</v>
      </c>
      <c r="AA56" s="89">
        <f t="shared" si="14"/>
        <v>0</v>
      </c>
      <c r="AB56" s="89">
        <f t="shared" si="15"/>
        <v>0</v>
      </c>
      <c r="AC56" s="30"/>
      <c r="AD56" s="35"/>
    </row>
    <row r="57" spans="1:30" ht="15.75">
      <c r="A57" s="40" t="s">
        <v>153</v>
      </c>
      <c r="B57" s="15" t="s">
        <v>160</v>
      </c>
      <c r="C57" s="30">
        <v>63.25</v>
      </c>
      <c r="D57" s="100">
        <f>C57/25</f>
        <v>2.53</v>
      </c>
      <c r="E57" s="15"/>
      <c r="F57" s="105">
        <v>63.25</v>
      </c>
      <c r="G57" s="106">
        <f>F57/25</f>
        <v>2.53</v>
      </c>
      <c r="H57" s="15" t="s">
        <v>168</v>
      </c>
      <c r="I57" s="30">
        <v>13.8</v>
      </c>
      <c r="J57" s="100">
        <f>I57/12</f>
        <v>1.1500000000000001</v>
      </c>
      <c r="K57" s="15" t="s">
        <v>159</v>
      </c>
      <c r="L57" s="30">
        <v>30.8</v>
      </c>
      <c r="M57" s="100">
        <f>L57/20</f>
        <v>1.54</v>
      </c>
      <c r="N57" s="19"/>
      <c r="O57" s="30"/>
      <c r="P57" s="55"/>
      <c r="Q57" s="19"/>
      <c r="R57" s="30"/>
      <c r="S57" s="55"/>
      <c r="V57" s="35" t="s">
        <v>171</v>
      </c>
      <c r="W57" s="35"/>
      <c r="Y57" s="88">
        <f t="shared" si="12"/>
        <v>0</v>
      </c>
      <c r="Z57" s="88">
        <f t="shared" si="13"/>
        <v>0</v>
      </c>
      <c r="AA57" s="89">
        <f t="shared" si="14"/>
        <v>0</v>
      </c>
      <c r="AB57" s="89">
        <f t="shared" si="15"/>
        <v>0</v>
      </c>
      <c r="AC57" s="30"/>
      <c r="AD57" s="35"/>
    </row>
    <row r="58" spans="1:30" ht="31.5" customHeight="1">
      <c r="A58" s="40" t="s">
        <v>156</v>
      </c>
      <c r="B58" s="15" t="s">
        <v>121</v>
      </c>
      <c r="C58" s="30">
        <v>20.4</v>
      </c>
      <c r="D58" s="100">
        <f>C58/4.5</f>
        <v>4.533333333333333</v>
      </c>
      <c r="E58" s="15"/>
      <c r="F58" s="105">
        <v>20.4</v>
      </c>
      <c r="G58" s="106">
        <f>F58/4.5</f>
        <v>4.533333333333333</v>
      </c>
      <c r="H58" s="15" t="s">
        <v>112</v>
      </c>
      <c r="I58" s="30">
        <v>27</v>
      </c>
      <c r="J58" s="100">
        <f>I58/9</f>
        <v>3</v>
      </c>
      <c r="K58" s="15" t="s">
        <v>165</v>
      </c>
      <c r="L58" s="30">
        <v>2.8</v>
      </c>
      <c r="M58" s="100">
        <f>L58/0.75</f>
        <v>3.733333333333333</v>
      </c>
      <c r="N58" s="19"/>
      <c r="O58" s="30"/>
      <c r="P58" s="55"/>
      <c r="Q58" s="19"/>
      <c r="R58" s="30"/>
      <c r="S58" s="55"/>
      <c r="V58" s="104" t="s">
        <v>172</v>
      </c>
      <c r="W58" s="30"/>
      <c r="Y58" s="88">
        <f t="shared" si="12"/>
        <v>0</v>
      </c>
      <c r="Z58" s="88">
        <f t="shared" si="13"/>
        <v>0</v>
      </c>
      <c r="AA58" s="89">
        <f t="shared" si="14"/>
        <v>0</v>
      </c>
      <c r="AB58" s="89">
        <f t="shared" si="15"/>
        <v>0</v>
      </c>
      <c r="AC58" s="30"/>
      <c r="AD58" s="35"/>
    </row>
    <row r="59" spans="1:30" ht="38.25">
      <c r="A59" s="40" t="s">
        <v>157</v>
      </c>
      <c r="B59" s="15" t="s">
        <v>36</v>
      </c>
      <c r="C59" s="30">
        <v>3.3</v>
      </c>
      <c r="D59" s="100">
        <f>C59/10</f>
        <v>0.32999999999999996</v>
      </c>
      <c r="E59" s="15"/>
      <c r="F59" s="105">
        <v>3.3</v>
      </c>
      <c r="G59" s="106">
        <f>F59/10</f>
        <v>0.32999999999999996</v>
      </c>
      <c r="H59" s="15" t="s">
        <v>162</v>
      </c>
      <c r="I59" s="30">
        <v>0.49</v>
      </c>
      <c r="J59" s="100">
        <f>I59/3</f>
        <v>0.16333333333333333</v>
      </c>
      <c r="K59" s="15" t="s">
        <v>93</v>
      </c>
      <c r="L59" s="30">
        <v>0.35</v>
      </c>
      <c r="M59" s="100">
        <f>L59/3</f>
        <v>0.11666666666666665</v>
      </c>
      <c r="N59" s="19"/>
      <c r="O59" s="30"/>
      <c r="P59" s="55"/>
      <c r="Q59" s="19"/>
      <c r="R59" s="30"/>
      <c r="S59" s="55"/>
      <c r="V59" s="15" t="s">
        <v>162</v>
      </c>
      <c r="W59" s="30"/>
      <c r="Y59" s="88">
        <f t="shared" si="12"/>
        <v>0</v>
      </c>
      <c r="Z59" s="88">
        <f t="shared" si="13"/>
        <v>0</v>
      </c>
      <c r="AA59" s="89">
        <f t="shared" si="14"/>
        <v>0</v>
      </c>
      <c r="AB59" s="89">
        <f t="shared" si="15"/>
        <v>0</v>
      </c>
      <c r="AC59" s="30"/>
      <c r="AD59" s="35"/>
    </row>
    <row r="60" spans="1:30" ht="25.5">
      <c r="A60" s="40" t="s">
        <v>158</v>
      </c>
      <c r="B60" s="15" t="s">
        <v>177</v>
      </c>
      <c r="C60" s="30">
        <v>22.5</v>
      </c>
      <c r="D60" s="107">
        <f>C60/3840</f>
        <v>0.005859375</v>
      </c>
      <c r="E60" s="15"/>
      <c r="F60" s="105">
        <v>22.5</v>
      </c>
      <c r="G60" s="108">
        <f>F60/3840</f>
        <v>0.005859375</v>
      </c>
      <c r="H60" s="15" t="s">
        <v>176</v>
      </c>
      <c r="I60" s="5">
        <v>15.9</v>
      </c>
      <c r="J60" s="107">
        <f>I60/3150</f>
        <v>0.005047619047619047</v>
      </c>
      <c r="K60" s="15"/>
      <c r="L60" s="30"/>
      <c r="M60" s="16"/>
      <c r="N60" s="19"/>
      <c r="O60" s="30"/>
      <c r="P60" s="55"/>
      <c r="Q60" s="19"/>
      <c r="R60" s="30"/>
      <c r="S60" s="55"/>
      <c r="V60" s="35"/>
      <c r="W60" s="35">
        <v>3150</v>
      </c>
      <c r="Y60" s="88">
        <v>22.5</v>
      </c>
      <c r="Z60" s="88">
        <v>22.5</v>
      </c>
      <c r="AA60" s="89">
        <f t="shared" si="14"/>
        <v>15.899999999999999</v>
      </c>
      <c r="AB60" s="89">
        <f t="shared" si="15"/>
        <v>0</v>
      </c>
      <c r="AC60" s="30"/>
      <c r="AD60" s="35"/>
    </row>
    <row r="61" spans="1:30" ht="15.75">
      <c r="A61" s="40"/>
      <c r="B61" s="15"/>
      <c r="C61" s="30"/>
      <c r="D61" s="100"/>
      <c r="E61" s="15"/>
      <c r="F61" s="30"/>
      <c r="G61" s="16"/>
      <c r="H61" s="15"/>
      <c r="I61" s="30"/>
      <c r="J61" s="55"/>
      <c r="K61" s="15"/>
      <c r="L61" s="30"/>
      <c r="M61" s="16"/>
      <c r="N61" s="19"/>
      <c r="O61" s="30"/>
      <c r="P61" s="55"/>
      <c r="Q61" s="19"/>
      <c r="R61" s="30"/>
      <c r="S61" s="55"/>
      <c r="V61" s="35"/>
      <c r="W61" s="35"/>
      <c r="Y61" s="88">
        <f t="shared" si="12"/>
        <v>0</v>
      </c>
      <c r="Z61" s="88">
        <f t="shared" si="13"/>
        <v>0</v>
      </c>
      <c r="AA61" s="89">
        <f t="shared" si="14"/>
        <v>0</v>
      </c>
      <c r="AB61" s="89">
        <f t="shared" si="15"/>
        <v>0</v>
      </c>
      <c r="AC61" s="30"/>
      <c r="AD61" s="35"/>
    </row>
    <row r="62" spans="1:30" ht="15.75">
      <c r="A62" s="40"/>
      <c r="B62" s="15"/>
      <c r="C62" s="30"/>
      <c r="D62" s="100"/>
      <c r="E62" s="15"/>
      <c r="F62" s="30"/>
      <c r="G62" s="16"/>
      <c r="H62" s="15"/>
      <c r="I62" s="30"/>
      <c r="J62" s="55"/>
      <c r="K62" s="15"/>
      <c r="L62" s="30"/>
      <c r="M62" s="16"/>
      <c r="N62" s="19"/>
      <c r="O62" s="30"/>
      <c r="P62" s="55"/>
      <c r="Q62" s="19"/>
      <c r="R62" s="30"/>
      <c r="S62" s="55"/>
      <c r="V62" s="35"/>
      <c r="W62" s="35"/>
      <c r="Y62" s="88">
        <f t="shared" si="12"/>
        <v>0</v>
      </c>
      <c r="Z62" s="88">
        <f t="shared" si="13"/>
        <v>0</v>
      </c>
      <c r="AA62" s="89">
        <f t="shared" si="14"/>
        <v>0</v>
      </c>
      <c r="AB62" s="89">
        <f t="shared" si="15"/>
        <v>0</v>
      </c>
      <c r="AC62" s="30"/>
      <c r="AD62" s="35"/>
    </row>
    <row r="63" spans="1:30" ht="15.75">
      <c r="A63" s="40"/>
      <c r="B63" s="15"/>
      <c r="C63" s="30"/>
      <c r="D63" s="100"/>
      <c r="E63" s="15"/>
      <c r="F63" s="30"/>
      <c r="G63" s="16"/>
      <c r="H63" s="15"/>
      <c r="I63" s="30"/>
      <c r="J63" s="55"/>
      <c r="K63" s="15"/>
      <c r="L63" s="30"/>
      <c r="M63" s="16"/>
      <c r="N63" s="19"/>
      <c r="O63" s="30"/>
      <c r="P63" s="55"/>
      <c r="Q63" s="19"/>
      <c r="R63" s="30"/>
      <c r="S63" s="55"/>
      <c r="V63" s="35"/>
      <c r="W63" s="35"/>
      <c r="Y63" s="88">
        <f t="shared" si="12"/>
        <v>0</v>
      </c>
      <c r="Z63" s="88">
        <f t="shared" si="13"/>
        <v>0</v>
      </c>
      <c r="AA63" s="89">
        <f t="shared" si="14"/>
        <v>0</v>
      </c>
      <c r="AB63" s="89">
        <f t="shared" si="15"/>
        <v>0</v>
      </c>
      <c r="AC63" s="30"/>
      <c r="AD63" s="35"/>
    </row>
    <row r="64" spans="1:30" ht="15.75">
      <c r="A64" s="40"/>
      <c r="B64" s="15"/>
      <c r="C64" s="30"/>
      <c r="D64" s="100"/>
      <c r="E64" s="15"/>
      <c r="F64" s="30"/>
      <c r="G64" s="16"/>
      <c r="H64" s="15"/>
      <c r="I64" s="30"/>
      <c r="J64" s="55"/>
      <c r="K64" s="15"/>
      <c r="L64" s="30"/>
      <c r="M64" s="16"/>
      <c r="N64" s="19"/>
      <c r="O64" s="30"/>
      <c r="P64" s="55"/>
      <c r="Q64" s="19"/>
      <c r="R64" s="30"/>
      <c r="S64" s="55"/>
      <c r="V64" s="35"/>
      <c r="W64" s="35"/>
      <c r="Y64" s="88">
        <f t="shared" si="12"/>
        <v>0</v>
      </c>
      <c r="Z64" s="88">
        <f t="shared" si="13"/>
        <v>0</v>
      </c>
      <c r="AA64" s="89">
        <f t="shared" si="14"/>
        <v>0</v>
      </c>
      <c r="AB64" s="89">
        <f t="shared" si="15"/>
        <v>0</v>
      </c>
      <c r="AC64" s="30"/>
      <c r="AD64" s="35"/>
    </row>
    <row r="65" spans="1:30" ht="15.75">
      <c r="A65" s="40"/>
      <c r="B65" s="15"/>
      <c r="C65" s="30"/>
      <c r="D65" s="100"/>
      <c r="E65" s="15"/>
      <c r="F65" s="30"/>
      <c r="G65" s="16"/>
      <c r="H65" s="15"/>
      <c r="I65" s="30"/>
      <c r="J65" s="55"/>
      <c r="K65" s="15"/>
      <c r="L65" s="30"/>
      <c r="M65" s="16"/>
      <c r="N65" s="19"/>
      <c r="O65" s="30"/>
      <c r="P65" s="55"/>
      <c r="Q65" s="19"/>
      <c r="R65" s="30"/>
      <c r="S65" s="55"/>
      <c r="V65" s="35"/>
      <c r="W65" s="35"/>
      <c r="Y65" s="88">
        <f t="shared" si="12"/>
        <v>0</v>
      </c>
      <c r="Z65" s="88">
        <f t="shared" si="13"/>
        <v>0</v>
      </c>
      <c r="AA65" s="89">
        <f t="shared" si="14"/>
        <v>0</v>
      </c>
      <c r="AB65" s="89">
        <f t="shared" si="15"/>
        <v>0</v>
      </c>
      <c r="AC65" s="30"/>
      <c r="AD65" s="35"/>
    </row>
    <row r="66" spans="1:30" ht="15.75">
      <c r="A66" s="40"/>
      <c r="B66" s="15"/>
      <c r="C66" s="30"/>
      <c r="D66" s="100"/>
      <c r="E66" s="15"/>
      <c r="F66" s="30"/>
      <c r="G66" s="16"/>
      <c r="H66" s="15"/>
      <c r="I66" s="30"/>
      <c r="J66" s="55"/>
      <c r="K66" s="15"/>
      <c r="L66" s="30"/>
      <c r="M66" s="16"/>
      <c r="N66" s="19"/>
      <c r="O66" s="30"/>
      <c r="P66" s="55"/>
      <c r="Q66" s="19"/>
      <c r="R66" s="30"/>
      <c r="S66" s="55"/>
      <c r="V66" s="35"/>
      <c r="W66" s="35"/>
      <c r="Y66" s="88">
        <f t="shared" si="12"/>
        <v>0</v>
      </c>
      <c r="Z66" s="88">
        <f t="shared" si="13"/>
        <v>0</v>
      </c>
      <c r="AA66" s="89">
        <f t="shared" si="14"/>
        <v>0</v>
      </c>
      <c r="AB66" s="89">
        <f t="shared" si="15"/>
        <v>0</v>
      </c>
      <c r="AC66" s="30"/>
      <c r="AD66" s="35"/>
    </row>
    <row r="67" spans="1:30" ht="16.5" thickBot="1">
      <c r="A67" s="96"/>
      <c r="B67" s="97"/>
      <c r="C67" s="98"/>
      <c r="D67" s="99"/>
      <c r="E67" s="97"/>
      <c r="F67" s="98"/>
      <c r="G67" s="101"/>
      <c r="H67" s="97"/>
      <c r="I67" s="98"/>
      <c r="J67" s="102"/>
      <c r="K67" s="97"/>
      <c r="L67" s="98"/>
      <c r="M67" s="101"/>
      <c r="N67" s="103"/>
      <c r="O67" s="98"/>
      <c r="P67" s="102"/>
      <c r="Q67" s="103"/>
      <c r="R67" s="98"/>
      <c r="S67" s="102"/>
      <c r="V67" s="35"/>
      <c r="W67" s="35"/>
      <c r="Y67" s="88">
        <f t="shared" si="12"/>
        <v>0</v>
      </c>
      <c r="Z67" s="88">
        <f t="shared" si="13"/>
        <v>0</v>
      </c>
      <c r="AA67" s="89">
        <f t="shared" si="14"/>
        <v>0</v>
      </c>
      <c r="AB67" s="89">
        <f t="shared" si="15"/>
        <v>0</v>
      </c>
      <c r="AC67" s="30">
        <f>W67*P67</f>
        <v>0</v>
      </c>
      <c r="AD67" s="35">
        <f>W67*S67</f>
        <v>0</v>
      </c>
    </row>
    <row r="68" spans="4:30" ht="12.75">
      <c r="D68" s="79">
        <f>SUM(D6:D67)</f>
        <v>129.26480937500003</v>
      </c>
      <c r="G68" s="79">
        <f>SUM(G6:G67)</f>
        <v>139.06549270833332</v>
      </c>
      <c r="J68" s="79">
        <f>SUM(J6:J67)</f>
        <v>116.99038095238096</v>
      </c>
      <c r="M68" s="79">
        <f>SUM(M6:M67)</f>
        <v>139.16399999999996</v>
      </c>
      <c r="P68" s="79">
        <f>SUM(P6:P67)</f>
        <v>197.438701754386</v>
      </c>
      <c r="S68" s="79">
        <f>SUM(S6:S67)</f>
        <v>144.67130000000003</v>
      </c>
      <c r="Y68" s="33">
        <f aca="true" t="shared" si="16" ref="Y68:AD68">SUM(Y6:Y67)</f>
        <v>201.36</v>
      </c>
      <c r="Z68" s="33">
        <f t="shared" si="16"/>
        <v>179.4</v>
      </c>
      <c r="AA68" s="33">
        <f t="shared" si="16"/>
        <v>175.38000000000002</v>
      </c>
      <c r="AB68" s="33">
        <f t="shared" si="16"/>
        <v>215.6</v>
      </c>
      <c r="AC68" s="33">
        <f t="shared" si="16"/>
        <v>265.04</v>
      </c>
      <c r="AD68" s="63">
        <f t="shared" si="16"/>
        <v>227.32</v>
      </c>
    </row>
    <row r="72" spans="17:19" ht="12.75">
      <c r="Q72" s="36"/>
      <c r="R72" s="36"/>
      <c r="S72" s="92"/>
    </row>
    <row r="73" spans="17:19" ht="12.75">
      <c r="Q73" s="36"/>
      <c r="R73" s="36"/>
      <c r="S73" s="92"/>
    </row>
    <row r="74" spans="17:19" ht="12.75">
      <c r="Q74" s="36"/>
      <c r="R74" s="36"/>
      <c r="S74" s="92"/>
    </row>
    <row r="75" spans="17:19" ht="12.75">
      <c r="Q75" s="36"/>
      <c r="R75" s="36"/>
      <c r="S75" s="92"/>
    </row>
    <row r="76" spans="17:19" ht="12.75">
      <c r="Q76" s="36"/>
      <c r="R76" s="36"/>
      <c r="S76" s="92"/>
    </row>
    <row r="77" spans="17:19" ht="12.75">
      <c r="Q77" s="36"/>
      <c r="R77" s="36"/>
      <c r="S77" s="36"/>
    </row>
  </sheetData>
  <sheetProtection/>
  <mergeCells count="15">
    <mergeCell ref="AD4:AD5"/>
    <mergeCell ref="A4:A5"/>
    <mergeCell ref="B4:D4"/>
    <mergeCell ref="N4:P4"/>
    <mergeCell ref="Q4:S4"/>
    <mergeCell ref="A2:S2"/>
    <mergeCell ref="AC4:AC5"/>
    <mergeCell ref="AB4:AB5"/>
    <mergeCell ref="Y4:Y5"/>
    <mergeCell ref="Z4:Z5"/>
    <mergeCell ref="V4:W5"/>
    <mergeCell ref="E4:G4"/>
    <mergeCell ref="H4:J4"/>
    <mergeCell ref="AA4:AA5"/>
    <mergeCell ref="K4:M4"/>
  </mergeCells>
  <printOptions horizontalCentered="1" verticalCentered="1"/>
  <pageMargins left="0.1968503937007874" right="0.1968503937007874" top="0.3937007874015748" bottom="0.7874015748031497" header="0.2362204724409449" footer="0.15748031496062992"/>
  <pageSetup fitToHeight="2" fitToWidth="2" horizontalDpi="600" verticalDpi="600" orientation="landscape" paperSize="8" scale="47" r:id="rId1"/>
  <rowBreaks count="1" manualBreakCount="1">
    <brk id="68" max="29" man="1"/>
  </rowBreaks>
  <colBreaks count="1" manualBreakCount="1">
    <brk id="19" max="67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Fabrizio</dc:creator>
  <cp:keywords/>
  <dc:description/>
  <cp:lastModifiedBy>user</cp:lastModifiedBy>
  <cp:lastPrinted>2022-12-12T12:19:55Z</cp:lastPrinted>
  <dcterms:created xsi:type="dcterms:W3CDTF">2012-10-25T18:53:42Z</dcterms:created>
  <dcterms:modified xsi:type="dcterms:W3CDTF">2022-12-12T12:29:51Z</dcterms:modified>
  <cp:category/>
  <cp:version/>
  <cp:contentType/>
  <cp:contentStatus/>
</cp:coreProperties>
</file>