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tente12\Downloads\"/>
    </mc:Choice>
  </mc:AlternateContent>
  <bookViews>
    <workbookView xWindow="0" yWindow="0" windowWidth="15330" windowHeight="1920"/>
  </bookViews>
  <sheets>
    <sheet name="CALCOLO SEGGI" sheetId="1" r:id="rId1"/>
  </sheets>
  <definedNames>
    <definedName name="_xlnm.Print_Area" localSheetId="0">'CALCOLO SEGGI'!$A$1:$P$93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1" l="1"/>
  <c r="K15" i="1" l="1"/>
  <c r="L15" i="1"/>
  <c r="K18" i="1"/>
  <c r="L18" i="1"/>
  <c r="D21" i="1"/>
  <c r="E21" i="1"/>
  <c r="F21" i="1"/>
  <c r="G21" i="1"/>
  <c r="H21" i="1"/>
  <c r="I21" i="1"/>
  <c r="J21" i="1"/>
  <c r="D29" i="1"/>
  <c r="I42" i="1"/>
  <c r="L21" i="1" l="1"/>
  <c r="M18" i="1"/>
  <c r="M15" i="1"/>
  <c r="N15" i="1" s="1"/>
  <c r="K21" i="1"/>
  <c r="N21" i="1" l="1"/>
  <c r="O18" i="1"/>
  <c r="M21" i="1"/>
  <c r="E26" i="1" l="1"/>
  <c r="I43" i="1" s="1"/>
  <c r="B24" i="1"/>
  <c r="L63" i="1"/>
  <c r="K63" i="1"/>
  <c r="J63" i="1"/>
  <c r="I63" i="1"/>
  <c r="H63" i="1"/>
  <c r="G63" i="1"/>
  <c r="F63" i="1"/>
  <c r="E63" i="1"/>
  <c r="D63" i="1"/>
  <c r="C63" i="1"/>
  <c r="J65" i="1" l="1"/>
  <c r="K65" i="1"/>
  <c r="L65" i="1"/>
  <c r="D51" i="1" l="1"/>
  <c r="C65" i="1"/>
  <c r="D65" i="1"/>
  <c r="E65" i="1"/>
  <c r="F65" i="1"/>
  <c r="G65" i="1"/>
  <c r="I65" i="1"/>
  <c r="H65" i="1"/>
  <c r="D50" i="1"/>
  <c r="D61" i="1" l="1"/>
  <c r="D48" i="1" l="1"/>
  <c r="D49" i="1"/>
  <c r="L67" i="1" l="1"/>
  <c r="F67" i="1"/>
  <c r="I67" i="1"/>
  <c r="K67" i="1"/>
  <c r="C67" i="1"/>
  <c r="E67" i="1"/>
  <c r="G67" i="1"/>
  <c r="H67" i="1"/>
  <c r="J67" i="1"/>
  <c r="D67" i="1"/>
  <c r="C73" i="1" l="1"/>
  <c r="R47" i="1" s="1"/>
  <c r="D73" i="1"/>
  <c r="R48" i="1" s="1"/>
  <c r="F73" i="1"/>
  <c r="R50" i="1" s="1"/>
  <c r="L73" i="1"/>
  <c r="R56" i="1" s="1"/>
  <c r="J73" i="1"/>
  <c r="R54" i="1" s="1"/>
  <c r="H73" i="1"/>
  <c r="R52" i="1" s="1"/>
  <c r="G73" i="1"/>
  <c r="R51" i="1" s="1"/>
  <c r="E73" i="1"/>
  <c r="R49" i="1" s="1"/>
  <c r="K73" i="1"/>
  <c r="R55" i="1" s="1"/>
  <c r="I73" i="1"/>
  <c r="R53" i="1" s="1"/>
  <c r="M67" i="1"/>
  <c r="M68" i="1" l="1"/>
  <c r="N67" i="1"/>
  <c r="N68" i="1" s="1"/>
  <c r="R57" i="1" l="1"/>
  <c r="R58" i="1" s="1"/>
  <c r="R70" i="1" l="1"/>
  <c r="S70" i="1" s="1"/>
  <c r="S47" i="1"/>
  <c r="S48" i="1"/>
  <c r="S50" i="1"/>
  <c r="S56" i="1"/>
  <c r="S55" i="1"/>
  <c r="S51" i="1"/>
  <c r="S53" i="1"/>
  <c r="S52" i="1"/>
  <c r="S49" i="1"/>
  <c r="S54" i="1"/>
  <c r="S57" i="1" l="1"/>
  <c r="S58" i="1" s="1"/>
  <c r="T47" i="1" l="1"/>
  <c r="R69" i="1"/>
  <c r="T52" i="1"/>
  <c r="T48" i="1"/>
  <c r="T54" i="1"/>
  <c r="T49" i="1"/>
  <c r="T50" i="1"/>
  <c r="T56" i="1"/>
  <c r="T55" i="1"/>
  <c r="T53" i="1"/>
  <c r="T51" i="1"/>
  <c r="S69" i="1" l="1"/>
  <c r="T57" i="1"/>
  <c r="T58" i="1" s="1"/>
  <c r="U58" i="1" l="1"/>
  <c r="V58" i="1" s="1"/>
  <c r="R68" i="1"/>
  <c r="S68" i="1" s="1"/>
  <c r="U47" i="1"/>
  <c r="U52" i="1"/>
  <c r="U54" i="1"/>
  <c r="U49" i="1"/>
  <c r="U51" i="1"/>
  <c r="U48" i="1"/>
  <c r="U50" i="1"/>
  <c r="U55" i="1"/>
  <c r="U53" i="1"/>
  <c r="U56" i="1"/>
  <c r="W58" i="1" l="1"/>
  <c r="X58" i="1" s="1"/>
  <c r="Y58" i="1" s="1"/>
  <c r="Z58" i="1" s="1"/>
  <c r="AA58" i="1" s="1"/>
  <c r="AB58" i="1" s="1"/>
  <c r="U57" i="1"/>
  <c r="R67" i="1" l="1"/>
  <c r="V47" i="1"/>
  <c r="V52" i="1"/>
  <c r="V54" i="1"/>
  <c r="V51" i="1"/>
  <c r="V48" i="1"/>
  <c r="V55" i="1"/>
  <c r="V56" i="1"/>
  <c r="V49" i="1"/>
  <c r="V50" i="1"/>
  <c r="V53" i="1"/>
  <c r="S67" i="1" l="1"/>
  <c r="V57" i="1"/>
  <c r="R66" i="1" s="1"/>
  <c r="S66" i="1" l="1"/>
  <c r="W48" i="1"/>
  <c r="W47" i="1"/>
  <c r="W52" i="1"/>
  <c r="W54" i="1"/>
  <c r="W55" i="1"/>
  <c r="W49" i="1"/>
  <c r="W50" i="1"/>
  <c r="W51" i="1"/>
  <c r="W56" i="1"/>
  <c r="W53" i="1"/>
  <c r="W57" i="1" l="1"/>
  <c r="R65" i="1" s="1"/>
  <c r="AB47" i="1" l="1"/>
  <c r="C70" i="1" s="1"/>
  <c r="AB50" i="1"/>
  <c r="AB48" i="1"/>
  <c r="AB49" i="1"/>
  <c r="E70" i="1" s="1"/>
  <c r="S65" i="1"/>
  <c r="X52" i="1"/>
  <c r="X48" i="1"/>
  <c r="X47" i="1"/>
  <c r="X54" i="1"/>
  <c r="X55" i="1"/>
  <c r="X50" i="1"/>
  <c r="X51" i="1"/>
  <c r="X56" i="1"/>
  <c r="X49" i="1"/>
  <c r="X53" i="1"/>
  <c r="AB51" i="1" l="1"/>
  <c r="X57" i="1"/>
  <c r="R64" i="1" s="1"/>
  <c r="S64" i="1" s="1"/>
  <c r="Y52" i="1" l="1"/>
  <c r="Y47" i="1"/>
  <c r="Y50" i="1"/>
  <c r="Y54" i="1"/>
  <c r="Y56" i="1"/>
  <c r="Y48" i="1"/>
  <c r="Y55" i="1"/>
  <c r="Y49" i="1"/>
  <c r="Y53" i="1"/>
  <c r="Y51" i="1"/>
  <c r="Y57" i="1" l="1"/>
  <c r="R63" i="1" s="1"/>
  <c r="S63" i="1" s="1"/>
  <c r="Z52" i="1" l="1"/>
  <c r="Z47" i="1"/>
  <c r="Z50" i="1"/>
  <c r="Z56" i="1"/>
  <c r="Z48" i="1"/>
  <c r="Z49" i="1"/>
  <c r="Z51" i="1"/>
  <c r="Z54" i="1"/>
  <c r="Z55" i="1"/>
  <c r="Z53" i="1"/>
  <c r="Z57" i="1" l="1"/>
  <c r="AA49" i="1" s="1"/>
  <c r="AA47" i="1" l="1"/>
  <c r="AA50" i="1"/>
  <c r="AA48" i="1"/>
  <c r="AA54" i="1"/>
  <c r="AA53" i="1"/>
  <c r="R62" i="1"/>
  <c r="AB52" i="1" s="1"/>
  <c r="AA52" i="1"/>
  <c r="AA56" i="1"/>
  <c r="AA51" i="1"/>
  <c r="AA55" i="1"/>
  <c r="AB55" i="1" l="1"/>
  <c r="AB54" i="1"/>
  <c r="J70" i="1" s="1"/>
  <c r="AB56" i="1"/>
  <c r="AB53" i="1"/>
  <c r="I70" i="1" s="1"/>
  <c r="F70" i="1"/>
  <c r="H70" i="1"/>
  <c r="G70" i="1"/>
  <c r="S62" i="1"/>
  <c r="AA57" i="1"/>
  <c r="R61" i="1" l="1"/>
  <c r="S61" i="1" s="1"/>
  <c r="D70" i="1"/>
  <c r="L70" i="1"/>
  <c r="K70" i="1"/>
  <c r="M70" i="1" l="1"/>
  <c r="M71" i="1" s="1"/>
  <c r="N70" i="1" l="1"/>
  <c r="N71" i="1" s="1"/>
  <c r="U76" i="1" l="1"/>
  <c r="R77" i="1"/>
  <c r="Z81" i="1"/>
  <c r="U80" i="1"/>
  <c r="R81" i="1"/>
  <c r="Y80" i="1"/>
  <c r="Y77" i="1"/>
  <c r="V76" i="1"/>
  <c r="Z80" i="1"/>
  <c r="W75" i="1"/>
  <c r="R74" i="1"/>
  <c r="T75" i="1"/>
  <c r="N75" i="1"/>
  <c r="O67" i="1" s="1"/>
  <c r="K31" i="1" s="1"/>
  <c r="T79" i="1"/>
  <c r="X78" i="1"/>
  <c r="W82" i="1"/>
  <c r="X74" i="1"/>
  <c r="S77" i="1"/>
  <c r="R82" i="1"/>
  <c r="X82" i="1"/>
  <c r="V73" i="1"/>
  <c r="X80" i="1"/>
  <c r="S79" i="1"/>
  <c r="R76" i="1"/>
  <c r="AA82" i="1"/>
  <c r="AA81" i="1"/>
  <c r="X75" i="1"/>
  <c r="U78" i="1"/>
  <c r="S80" i="1"/>
  <c r="Y82" i="1"/>
  <c r="Z75" i="1"/>
  <c r="R80" i="1"/>
  <c r="S74" i="1"/>
  <c r="Z74" i="1"/>
  <c r="V77" i="1"/>
  <c r="Z82" i="1"/>
  <c r="V74" i="1"/>
  <c r="Z73" i="1"/>
  <c r="Y75" i="1"/>
  <c r="R75" i="1"/>
  <c r="AA75" i="1"/>
  <c r="Z77" i="1"/>
  <c r="S81" i="1"/>
  <c r="U81" i="1"/>
  <c r="AA73" i="1"/>
  <c r="R78" i="1"/>
  <c r="V75" i="1"/>
  <c r="V81" i="1"/>
  <c r="V79" i="1"/>
  <c r="W79" i="1"/>
  <c r="S78" i="1"/>
  <c r="AA78" i="1"/>
  <c r="Y78" i="1"/>
  <c r="X77" i="1"/>
  <c r="AA79" i="1"/>
  <c r="R73" i="1"/>
  <c r="W80" i="1"/>
  <c r="T78" i="1"/>
  <c r="U79" i="1"/>
  <c r="U77" i="1"/>
  <c r="Y81" i="1"/>
  <c r="Z78" i="1"/>
  <c r="W74" i="1"/>
  <c r="V78" i="1"/>
  <c r="T80" i="1"/>
  <c r="U73" i="1"/>
  <c r="X79" i="1"/>
  <c r="U74" i="1"/>
  <c r="W78" i="1"/>
  <c r="V80" i="1"/>
  <c r="S76" i="1"/>
  <c r="T76" i="1"/>
  <c r="AA80" i="1"/>
  <c r="W76" i="1"/>
  <c r="X73" i="1"/>
  <c r="W81" i="1"/>
  <c r="V82" i="1"/>
  <c r="W73" i="1"/>
  <c r="T81" i="1"/>
  <c r="Y74" i="1"/>
  <c r="Y73" i="1"/>
  <c r="AA76" i="1"/>
  <c r="R79" i="1"/>
  <c r="X76" i="1"/>
  <c r="U82" i="1"/>
  <c r="S82" i="1"/>
  <c r="S73" i="1"/>
  <c r="AA77" i="1"/>
  <c r="U75" i="1"/>
  <c r="Z76" i="1"/>
  <c r="T74" i="1"/>
  <c r="Z79" i="1"/>
  <c r="Y79" i="1"/>
  <c r="W77" i="1"/>
  <c r="T82" i="1"/>
  <c r="Y76" i="1"/>
  <c r="T77" i="1"/>
  <c r="S75" i="1"/>
  <c r="T73" i="1"/>
  <c r="AA74" i="1"/>
  <c r="X81" i="1"/>
  <c r="AB82" i="1" l="1"/>
  <c r="L75" i="1" s="1"/>
  <c r="AB75" i="1"/>
  <c r="E75" i="1" s="1"/>
  <c r="J43" i="1"/>
  <c r="AB73" i="1"/>
  <c r="C75" i="1" s="1"/>
  <c r="AB77" i="1"/>
  <c r="G75" i="1" s="1"/>
  <c r="AB76" i="1"/>
  <c r="F75" i="1" s="1"/>
  <c r="AB78" i="1"/>
  <c r="H75" i="1" s="1"/>
  <c r="J37" i="1" s="1"/>
  <c r="AB80" i="1"/>
  <c r="J75" i="1" s="1"/>
  <c r="J39" i="1" s="1"/>
  <c r="AB79" i="1"/>
  <c r="I75" i="1" s="1"/>
  <c r="AB74" i="1"/>
  <c r="D75" i="1" s="1"/>
  <c r="AB81" i="1"/>
  <c r="K75" i="1" s="1"/>
  <c r="J41" i="1" l="1"/>
  <c r="J40" i="1"/>
  <c r="J34" i="1"/>
  <c r="J38" i="1"/>
  <c r="J35" i="1"/>
  <c r="J36" i="1"/>
  <c r="J32" i="1"/>
  <c r="J33" i="1"/>
  <c r="M75" i="1"/>
  <c r="M76" i="1" s="1"/>
  <c r="J42" i="1" l="1"/>
  <c r="M78" i="1"/>
  <c r="M79" i="1" s="1"/>
  <c r="I78" i="1" l="1"/>
  <c r="AC79" i="1" s="1"/>
  <c r="G78" i="1"/>
  <c r="AC77" i="1" s="1"/>
  <c r="L78" i="1"/>
  <c r="AC82" i="1" s="1"/>
  <c r="K78" i="1"/>
  <c r="AC81" i="1" s="1"/>
  <c r="E78" i="1"/>
  <c r="AC75" i="1" s="1"/>
  <c r="D78" i="1"/>
  <c r="AC74" i="1" s="1"/>
  <c r="C78" i="1"/>
  <c r="AC73" i="1" s="1"/>
  <c r="AD73" i="1" s="1"/>
  <c r="H78" i="1"/>
  <c r="AC78" i="1" s="1"/>
  <c r="F78" i="1"/>
  <c r="AC76" i="1" s="1"/>
  <c r="J78" i="1"/>
  <c r="AC80" i="1" s="1"/>
  <c r="B82" i="1"/>
  <c r="AD74" i="1" l="1"/>
  <c r="AD75" i="1" s="1"/>
  <c r="AD76" i="1" s="1"/>
  <c r="AD77" i="1" s="1"/>
  <c r="AD78" i="1" s="1"/>
  <c r="AD79" i="1" s="1"/>
  <c r="AD80" i="1" s="1"/>
  <c r="AD81" i="1" s="1"/>
  <c r="AD82" i="1" s="1"/>
  <c r="C82" i="1" s="1"/>
</calcChain>
</file>

<file path=xl/comments1.xml><?xml version="1.0" encoding="utf-8"?>
<comments xmlns="http://schemas.openxmlformats.org/spreadsheetml/2006/main">
  <authors>
    <author>FCossidente</author>
    <author>Corrado</author>
    <author>Cesare</author>
  </authors>
  <commentList>
    <comment ref="I5" authorId="0" shapeId="0">
      <text>
        <r>
          <rPr>
            <b/>
            <sz val="10"/>
            <color indexed="81"/>
            <rFont val="Tahoma"/>
            <family val="2"/>
          </rPr>
          <t xml:space="preserve">Istruzioni per il corretto funzionamento:
</t>
        </r>
        <r>
          <rPr>
            <sz val="10"/>
            <color indexed="81"/>
            <rFont val="Tahoma"/>
            <family val="2"/>
          </rPr>
          <t xml:space="preserve">Inserire i </t>
        </r>
        <r>
          <rPr>
            <b/>
            <sz val="10"/>
            <color indexed="81"/>
            <rFont val="Tahoma"/>
            <family val="2"/>
          </rPr>
          <t>dati nelle sole caselle verdi</t>
        </r>
        <r>
          <rPr>
            <sz val="10"/>
            <color indexed="81"/>
            <rFont val="Tahoma"/>
            <family val="2"/>
          </rPr>
          <t xml:space="preserve"> (non protette).
I dati relativi alle denominazioni (Amministrazione / collegio elettorale, liste, ecc. NON sono essenziali).
Tutti i dati relativi ad aventi diritto, votanti, schede, voti alle liste e numero di RSU da eleggere sono, ovviamente, </t>
        </r>
        <r>
          <rPr>
            <b/>
            <sz val="10"/>
            <color indexed="81"/>
            <rFont val="Tahoma"/>
            <family val="2"/>
          </rPr>
          <t>DATI NECESSARI AL CALCOLO</t>
        </r>
        <r>
          <rPr>
            <sz val="10"/>
            <color indexed="81"/>
            <rFont val="Tahoma"/>
            <family val="2"/>
          </rPr>
          <t>.
Nella</t>
        </r>
        <r>
          <rPr>
            <b/>
            <sz val="10"/>
            <color indexed="81"/>
            <rFont val="Tahoma"/>
            <family val="2"/>
          </rPr>
          <t xml:space="preserve"> caselle bianche</t>
        </r>
        <r>
          <rPr>
            <sz val="10"/>
            <color indexed="81"/>
            <rFont val="Tahoma"/>
            <family val="2"/>
          </rPr>
          <t xml:space="preserve"> (protette) compariranno i </t>
        </r>
        <r>
          <rPr>
            <b/>
            <sz val="10"/>
            <color indexed="81"/>
            <rFont val="Tahoma"/>
            <family val="2"/>
          </rPr>
          <t>risultati del calcolo</t>
        </r>
        <r>
          <rPr>
            <sz val="10"/>
            <color indexed="81"/>
            <rFont val="Tahoma"/>
            <family val="2"/>
          </rPr>
          <t xml:space="preserve"> di assegnazione seggi.
Nelle</t>
        </r>
        <r>
          <rPr>
            <b/>
            <sz val="10"/>
            <color indexed="81"/>
            <rFont val="Tahoma"/>
            <family val="2"/>
          </rPr>
          <t xml:space="preserve"> caselle gialle</t>
        </r>
        <r>
          <rPr>
            <sz val="10"/>
            <color indexed="81"/>
            <rFont val="Tahoma"/>
            <family val="2"/>
          </rPr>
          <t xml:space="preserve"> (protette) sono inseriti i "</t>
        </r>
        <r>
          <rPr>
            <b/>
            <sz val="10"/>
            <color indexed="81"/>
            <rFont val="Tahoma"/>
            <family val="2"/>
          </rPr>
          <t>controlli di congruità</t>
        </r>
        <r>
          <rPr>
            <sz val="10"/>
            <color indexed="81"/>
            <rFont val="Tahoma"/>
            <family val="2"/>
          </rPr>
          <t xml:space="preserve">" che evidenziano la correttezza del dato ("OK") o eventuali </t>
        </r>
        <r>
          <rPr>
            <b/>
            <sz val="10"/>
            <color indexed="81"/>
            <rFont val="Tahoma"/>
            <family val="2"/>
          </rPr>
          <t>ERRORI</t>
        </r>
        <r>
          <rPr>
            <sz val="10"/>
            <color indexed="81"/>
            <rFont val="Tahoma"/>
            <family val="2"/>
          </rPr>
          <t xml:space="preserve"> da verificare ("</t>
        </r>
        <r>
          <rPr>
            <b/>
            <sz val="10"/>
            <color indexed="81"/>
            <rFont val="Tahoma"/>
            <family val="2"/>
          </rPr>
          <t>??</t>
        </r>
        <r>
          <rPr>
            <sz val="10"/>
            <color indexed="81"/>
            <rFont val="Tahoma"/>
            <family val="2"/>
          </rPr>
          <t>").</t>
        </r>
      </text>
    </comment>
    <comment ref="M21" authorId="1" shapeId="0">
      <text>
        <r>
          <rPr>
            <b/>
            <sz val="8"/>
            <color indexed="81"/>
            <rFont val="Tahoma"/>
            <family val="2"/>
          </rPr>
          <t>Il numero di votanti non può superare il numero di aventi diritto al voto</t>
        </r>
        <r>
          <rPr>
            <sz val="8"/>
            <color indexed="81"/>
            <rFont val="Tahoma"/>
            <family val="2"/>
          </rPr>
          <t xml:space="preserve">
</t>
        </r>
      </text>
    </comment>
    <comment ref="N21" authorId="1" shapeId="0">
      <text>
        <r>
          <rPr>
            <sz val="8"/>
            <color rgb="FF000000"/>
            <rFont val="Tahoma"/>
            <family val="2"/>
          </rPr>
          <t xml:space="preserve">Per determinare se sia stato raggiunto il quoziente necessario per la validità delle elezioni, occorre prendere in considerazione il numero dei votanti rapportandolo al numero degli aventi
</t>
        </r>
        <r>
          <rPr>
            <sz val="8"/>
            <color rgb="FF000000"/>
            <rFont val="Tahoma"/>
            <family val="2"/>
          </rPr>
          <t>diritto al voto nell’intero collegio elettorale.</t>
        </r>
        <r>
          <rPr>
            <b/>
            <sz val="8"/>
            <color rgb="FF000000"/>
            <rFont val="Tahoma"/>
            <family val="2"/>
          </rPr>
          <t xml:space="preserve">
</t>
        </r>
        <r>
          <rPr>
            <b/>
            <sz val="8"/>
            <color rgb="FF000000"/>
            <rFont val="Tahoma"/>
            <family val="2"/>
          </rPr>
          <t xml:space="preserve">Le elezioni sono valide quando ha votato almeno la metà più uno degli aventi diritto al voto
</t>
        </r>
        <r>
          <rPr>
            <b/>
            <sz val="8"/>
            <color rgb="FF000000"/>
            <rFont val="Tahoma"/>
            <family val="2"/>
          </rPr>
          <t>(elettorato attivo).</t>
        </r>
        <r>
          <rPr>
            <sz val="8"/>
            <color rgb="FF000000"/>
            <rFont val="Tahoma"/>
            <family val="2"/>
          </rPr>
          <t xml:space="preserve">
</t>
        </r>
        <r>
          <rPr>
            <sz val="8"/>
            <color rgb="FF000000"/>
            <rFont val="Tahoma"/>
            <family val="2"/>
          </rPr>
          <t xml:space="preserve">Esempio:
</t>
        </r>
        <r>
          <rPr>
            <sz val="8"/>
            <color rgb="FF000000"/>
            <rFont val="Tahoma"/>
            <family val="2"/>
          </rPr>
          <t xml:space="preserve">- nel caso in cui l’elenco degli elettori aventi diritto al voto sia pari a n. 125 dipendenti, il
</t>
        </r>
        <r>
          <rPr>
            <sz val="8"/>
            <color rgb="FF000000"/>
            <rFont val="Tahoma"/>
            <family val="2"/>
          </rPr>
          <t xml:space="preserve">quoziente è raggiunto solo nel caso in cui abbiano votato almeno n. 63 elettori [(125:2)+1];
</t>
        </r>
        <r>
          <rPr>
            <sz val="8"/>
            <color rgb="FF000000"/>
            <rFont val="Tahoma"/>
            <family val="2"/>
          </rPr>
          <t xml:space="preserve">- nel caso in cui l’elenco degli elettori aventi diritto al voto sia pari a n. 126 dipendenti, il
</t>
        </r>
        <r>
          <rPr>
            <sz val="8"/>
            <color rgb="FF000000"/>
            <rFont val="Tahoma"/>
            <family val="2"/>
          </rPr>
          <t xml:space="preserve">quoziente è raggiunto solo nel caso in cui abbiano votato almeno n. 64 elettori [(126:2)+1].
</t>
        </r>
        <r>
          <rPr>
            <sz val="8"/>
            <color rgb="FF000000"/>
            <rFont val="Tahoma"/>
            <family val="2"/>
          </rPr>
          <t>La Commissione elettorale autorizza l’apertura delle urne per lo scrutinio nella sezione (o nelle varie sezioni nel caso in cui vi siano più sezioni) solo dopo avere proceduto alla verifica del raggiungimento del quoziente necessario per la validità delle elezioni nel collegio elettorale.</t>
        </r>
        <r>
          <rPr>
            <b/>
            <sz val="8"/>
            <color rgb="FF000000"/>
            <rFont val="Tahoma"/>
            <family val="2"/>
          </rPr>
          <t xml:space="preserve">
</t>
        </r>
        <r>
          <rPr>
            <b/>
            <sz val="8"/>
            <color rgb="FF000000"/>
            <rFont val="Tahoma"/>
            <family val="2"/>
          </rPr>
          <t xml:space="preserve">In caso di mancato raggiungimento del quoziente richiesto non si deve procedere alle
</t>
        </r>
        <r>
          <rPr>
            <b/>
            <sz val="8"/>
            <color rgb="FF000000"/>
            <rFont val="Tahoma"/>
            <family val="2"/>
          </rPr>
          <t xml:space="preserve">operazioni di scrutinio e le sole elezioni devono essere ripetute entro 30 giorni. </t>
        </r>
        <r>
          <rPr>
            <sz val="8"/>
            <color rgb="FF000000"/>
            <rFont val="Tahoma"/>
            <family val="2"/>
          </rPr>
          <t xml:space="preserve">In tali casi non è ammessa la presentazione di nuove liste.
</t>
        </r>
        <r>
          <rPr>
            <sz val="8"/>
            <color rgb="FF000000"/>
            <rFont val="Tahoma"/>
            <family val="2"/>
          </rPr>
          <t>Qualora non si raggiunga il quoziente richiesto anche nelle seconde elezioni, l’intera procedura deve essere riattivata ex novo e conclusa nei successivi 90 giorni.</t>
        </r>
      </text>
    </comment>
    <comment ref="E26" authorId="2" shapeId="0">
      <text>
        <r>
          <rPr>
            <b/>
            <sz val="9"/>
            <color rgb="FF000000"/>
            <rFont val="Tahoma"/>
            <family val="2"/>
          </rPr>
          <t>Il numero delle schede scrutinate deve essere uguale ai votanti (schede valide + bianche + nulle)</t>
        </r>
      </text>
    </comment>
    <comment ref="J26" authorId="1" shapeId="0">
      <text>
        <r>
          <rPr>
            <b/>
            <sz val="8"/>
            <color rgb="FF000000"/>
            <rFont val="Tahoma"/>
            <family val="2"/>
          </rPr>
          <t xml:space="preserve">Calcolo del numero dei componenti da eleggere nella RSU
</t>
        </r>
        <r>
          <rPr>
            <sz val="8"/>
            <color rgb="FF000000"/>
            <rFont val="Tahoma"/>
            <family val="2"/>
          </rPr>
          <t xml:space="preserve">Il numero dei componenti la RSU è fissato dall’ACNQ 12 aprile 2022 e dagli accordi integrativi di comparto, laddove stipulati. Non può, pertanto, essere soggetto a modifiche nella sede di elezione RSU.
</t>
        </r>
        <r>
          <rPr>
            <sz val="8"/>
            <color rgb="FF000000"/>
            <rFont val="Tahoma"/>
            <family val="2"/>
          </rPr>
          <t xml:space="preserve">La regola generale è contenuta all’art. 4 dell’ACNQ 12 aprile 2022, in base alla quale la RSU deve essere così composta:
</t>
        </r>
        <r>
          <rPr>
            <sz val="8"/>
            <color rgb="FF000000"/>
            <rFont val="Tahoma"/>
            <family val="2"/>
          </rPr>
          <t xml:space="preserve">a) </t>
        </r>
        <r>
          <rPr>
            <b/>
            <sz val="8"/>
            <color rgb="FF000000"/>
            <rFont val="Tahoma"/>
            <family val="2"/>
          </rPr>
          <t xml:space="preserve"> nelle Amministrazioni che occupano fino a 200 dipendenti: 3 componenti;
</t>
        </r>
        <r>
          <rPr>
            <b/>
            <sz val="8"/>
            <color rgb="FF000000"/>
            <rFont val="Tahoma"/>
            <family val="2"/>
          </rPr>
          <t xml:space="preserve">b)  nelle Amministrazioni che occupano da 201 a 3.000 dipendenti: 3 componenti per i primi 200 dipendenti più 3 componenti ogni ulteriori 300 dipendenti o frazione di 300;
</t>
        </r>
        <r>
          <rPr>
            <b/>
            <sz val="8"/>
            <color rgb="FF000000"/>
            <rFont val="Tahoma"/>
            <family val="2"/>
          </rPr>
          <t>c)  nelle Amministrazioni che occupano più di 3.000 dipendenti, al numero di componenti previsto per le Amministrazioni con 3.000 dipendenti (pari a 33) si sommano 3 dipendenti ogni ulteriori 500 dipendenti o frazione di 500.</t>
        </r>
        <r>
          <rPr>
            <sz val="8"/>
            <color rgb="FF000000"/>
            <rFont val="Tahoma"/>
            <family val="2"/>
          </rPr>
          <t xml:space="preserve">
</t>
        </r>
        <r>
          <rPr>
            <sz val="8"/>
            <color rgb="FF000000"/>
            <rFont val="Tahoma"/>
            <family val="2"/>
          </rPr>
          <t xml:space="preserve">Nel comparto Istruzione e Ricerca, ove non sono stati stipulati accordi integrativi di comparto, per definire il numero di componenti della RSU si dovrà fare riferimento allo schema sovrastante.
</t>
        </r>
      </text>
    </comment>
    <comment ref="I43" authorId="1" shapeId="0">
      <text>
        <r>
          <rPr>
            <b/>
            <sz val="8"/>
            <color rgb="FF000000"/>
            <rFont val="Tahoma"/>
            <family val="2"/>
          </rPr>
          <t>La somma dei voti alle liste deve essere uguale al numero dei voti validi</t>
        </r>
      </text>
    </comment>
    <comment ref="J43" authorId="0" shapeId="0">
      <text>
        <r>
          <rPr>
            <sz val="8"/>
            <color indexed="81"/>
            <rFont val="Tahoma"/>
            <family val="2"/>
          </rPr>
          <t xml:space="preserve">In caso di </t>
        </r>
        <r>
          <rPr>
            <b/>
            <sz val="8"/>
            <color indexed="81"/>
            <rFont val="Tahoma"/>
            <family val="2"/>
          </rPr>
          <t>"ERRORE" (??)</t>
        </r>
        <r>
          <rPr>
            <sz val="8"/>
            <color indexed="81"/>
            <rFont val="Tahoma"/>
            <family val="2"/>
          </rPr>
          <t xml:space="preserve">, controllare l'inserimento dei dati
o verificare nelle righe sottostanti se i seggi assegnati non sono pari al numero di RSU eligibili (quindi procedere come specificato nei passaggi a fondo pagina)
</t>
        </r>
      </text>
    </comment>
    <comment ref="B46" authorId="2" shapeId="0">
      <text>
        <r>
          <rPr>
            <b/>
            <sz val="9"/>
            <color indexed="81"/>
            <rFont val="Tahoma"/>
            <family val="2"/>
          </rPr>
          <t xml:space="preserve">Procedimento per l’attribuzione dei seggi
</t>
        </r>
        <r>
          <rPr>
            <sz val="9"/>
            <color indexed="81"/>
            <rFont val="Tahoma"/>
            <family val="2"/>
          </rPr>
          <t xml:space="preserve">Il numero dei seggi attribuibili è pari al numero dei componenti della RSU eleggibili nel collegio elettorale.
Tenuto conto che l’art. 3, comma 2, dell’ACNQ 12 aprile 2022 recita: "alla costituzione della RSU si procede mediante elezione a suffragio universale ed a voto segreto con il metodo proporzionale tra liste concorrenti", il successivo art. 32, al comma 1 ha precisato che “il numero dei seggi sarà ripartito secondo il criterio proporzionale, in relazione ai voti conseguiti dalle singole liste concorrenti”. In particolare, ad ogni scheda corrisponde un unico voto di lista, indipendentemente dal numero di preferenze che potevano essere espresse.
Di seguito si riporta l’ordine delle operazioni per la ripartizione e la successiva assegnazione dei seggi:
A.  calcolo del quorum;
B.  ripartizione dei seggi alle liste;
C.  attribuzione dei seggi ai candidati.
</t>
        </r>
      </text>
    </comment>
    <comment ref="D51" authorId="2" shapeId="0">
      <text>
        <r>
          <rPr>
            <b/>
            <sz val="9"/>
            <color indexed="81"/>
            <rFont val="Tahoma"/>
            <family val="2"/>
          </rPr>
          <t>Il numero dei seggi attribuibili è pari al numero dei componenti della RSU eleggibili nel
collegio elettorale</t>
        </r>
      </text>
    </comment>
    <comment ref="C54" authorId="2" shapeId="0">
      <text>
        <r>
          <rPr>
            <b/>
            <sz val="9"/>
            <color indexed="81"/>
            <rFont val="Tahoma"/>
            <family val="2"/>
          </rPr>
          <t xml:space="preserve">Calcolo del quorum
1)  Il quorum si calcola dividendo il numero dei voti validi per il numero dei seggi attribuibili
</t>
        </r>
        <r>
          <rPr>
            <sz val="9"/>
            <color indexed="81"/>
            <rFont val="Tahoma"/>
            <family val="2"/>
          </rPr>
          <t>Esempio:</t>
        </r>
        <r>
          <rPr>
            <b/>
            <sz val="9"/>
            <color indexed="81"/>
            <rFont val="Tahoma"/>
            <family val="2"/>
          </rPr>
          <t xml:space="preserve">
</t>
        </r>
        <r>
          <rPr>
            <sz val="9"/>
            <color indexed="81"/>
            <rFont val="Tahoma"/>
            <family val="2"/>
          </rPr>
          <t xml:space="preserve">Collegio elettorale con n. 125 lavoratori aventi diritto al voto e 3 seggi da attribuire. Si recano
a votare n. 120 elettori (votanti), con voti validi 118, 1 scheda bianca e 1 scheda nulla:
Calcolo del quorum:
voti validi (n. 118) diviso numero dei seggi da ripartire (n. 3) = 118 : 3 = 39,333
Il QUORUM è pari a 39,333
</t>
        </r>
        <r>
          <rPr>
            <b/>
            <sz val="9"/>
            <color indexed="81"/>
            <rFont val="Tahoma"/>
            <family val="2"/>
          </rPr>
          <t>La norma non prevede alcun arrotondamento per difetto o per eccesso e quindi il numero del quorum va utilizzato, se del caso, con i suoi decimali.</t>
        </r>
      </text>
    </comment>
    <comment ref="D61" authorId="2" shapeId="0">
      <text>
        <r>
          <rPr>
            <b/>
            <sz val="9"/>
            <color indexed="81"/>
            <rFont val="Tahoma"/>
            <family val="2"/>
          </rPr>
          <t xml:space="preserve">A.  Calcolo del quorum
1)  Il quorum si calcola dividendo il numero dei voti validi per il numero dei seggi attribuibili
</t>
        </r>
        <r>
          <rPr>
            <sz val="9"/>
            <color indexed="81"/>
            <rFont val="Tahoma"/>
            <family val="2"/>
          </rPr>
          <t xml:space="preserve">Esempio:
Collegio elettorale con n. 125 lavoratori aventi diritto al voto e 3 seggi da attribuire. Si recano
a votare n. 120 elettori (votanti), con voti validi 118, 1 scheda bianca e 1 scheda nulla:
Calcolo del quorum:
voti validi (n. 118) diviso numero dei seggi da ripartire (n. 3) = 118 : 3 = 39,333
Il QUORUM è pari a 39,333
</t>
        </r>
        <r>
          <rPr>
            <b/>
            <sz val="9"/>
            <color indexed="81"/>
            <rFont val="Tahoma"/>
            <family val="2"/>
          </rPr>
          <t>La norma non prevede alcun arrotondamento per difetto o per eccesso e quindi il numero del
quorum va utilizzato, se del caso, con i suoi decimali.</t>
        </r>
      </text>
    </comment>
    <comment ref="B67" authorId="2" shapeId="0">
      <text>
        <r>
          <rPr>
            <sz val="9"/>
            <color indexed="81"/>
            <rFont val="Tahoma"/>
            <family val="2"/>
          </rPr>
          <t>a)  si divide il numero dei voti ottenuti da ogni singola lista per il quorum calcolato come sopra;
b)  si assegna ad ogni lista un numero di seggi pari al numero intero ottenuto dalla divisione di
cui alla lettera a);</t>
        </r>
      </text>
    </comment>
    <comment ref="B70" authorId="2" shapeId="0">
      <text>
        <r>
          <rPr>
            <sz val="9"/>
            <color indexed="81"/>
            <rFont val="Tahoma"/>
            <family val="2"/>
          </rPr>
          <t>c)  si assegnano i seggi residui utilizzando la regola dei migliori resti [intendendo per “resto”
il decimale dopo la virgola del risultato della divisione di cui al punto a)].</t>
        </r>
      </text>
    </comment>
  </commentList>
</comments>
</file>

<file path=xl/sharedStrings.xml><?xml version="1.0" encoding="utf-8"?>
<sst xmlns="http://schemas.openxmlformats.org/spreadsheetml/2006/main" count="91" uniqueCount="79">
  <si>
    <t xml:space="preserve">ELEZIONI DELLE RSU </t>
  </si>
  <si>
    <t>Comparto</t>
  </si>
  <si>
    <t>Data elezioni</t>
  </si>
  <si>
    <t xml:space="preserve">Indirizzo </t>
  </si>
  <si>
    <t xml:space="preserve">Comune </t>
  </si>
  <si>
    <t>Provincia</t>
  </si>
  <si>
    <t>Regione</t>
  </si>
  <si>
    <t>Collegio</t>
  </si>
  <si>
    <t>Maschi</t>
  </si>
  <si>
    <t>Femmine</t>
  </si>
  <si>
    <t>Aventi diritto al voto</t>
  </si>
  <si>
    <t>Votanti</t>
  </si>
  <si>
    <t>Totale</t>
  </si>
  <si>
    <t>Totale generale</t>
  </si>
  <si>
    <t>Valide</t>
  </si>
  <si>
    <t>Bianche</t>
  </si>
  <si>
    <t>Nulle</t>
  </si>
  <si>
    <t>Scrutinate</t>
  </si>
  <si>
    <t>Schede</t>
  </si>
  <si>
    <t>LISTA</t>
  </si>
  <si>
    <t>VOTI</t>
  </si>
  <si>
    <t>Aventi diritto</t>
  </si>
  <si>
    <t>Seggi da ripartire</t>
  </si>
  <si>
    <t>Voti ottenuti</t>
  </si>
  <si>
    <t>Voti validi</t>
  </si>
  <si>
    <t>ISTRUZIONI</t>
  </si>
  <si>
    <t>Controllo</t>
  </si>
  <si>
    <t>www.flcgil.it/rsu</t>
  </si>
  <si>
    <t>Calcolo del Quorum</t>
  </si>
  <si>
    <t>Resti</t>
  </si>
  <si>
    <t>= N° DI VOTI VALIDI / N° SEGGI DA RIPARTIRE</t>
  </si>
  <si>
    <t>DENOMINAZIONE ORGANIZZAZIONE SINDACALE</t>
  </si>
  <si>
    <t>Per leggere il commento/nota, selezionare la cella con l'angolo rosso.</t>
  </si>
  <si>
    <t>a) QUORUM</t>
  </si>
  <si>
    <t>a)</t>
  </si>
  <si>
    <t>b)</t>
  </si>
  <si>
    <t>c)</t>
  </si>
  <si>
    <t>b) Seggi ripartiti con il quoziente intero (Quorum)</t>
  </si>
  <si>
    <t>Seggi ripartiti con il quoziente intero</t>
  </si>
  <si>
    <t>Seggi Assegnati con i migliori Resti</t>
  </si>
  <si>
    <t>b)  si assegna ad ogni lista un numero di seggi pari al numero intero ottenuto dalla divisione di cui alla lettera a);</t>
  </si>
  <si>
    <t>Amministrazione/Collegio elettorale</t>
  </si>
  <si>
    <t>Sezione elettorale 1</t>
  </si>
  <si>
    <t>Sezione elettorale 2</t>
  </si>
  <si>
    <t>Sezione elettorale 3</t>
  </si>
  <si>
    <t>Sezione elettorale 4</t>
  </si>
  <si>
    <t>SEGGI</t>
  </si>
  <si>
    <t>c)  si assegnano i seggi residui utilizzando la regola dei migliori resti,
intendendo per “resto” il decimale dopo la virgola del risultato della divisione di cui al punto a).</t>
  </si>
  <si>
    <t>% validità elezione:</t>
  </si>
  <si>
    <t>Quoziente minimo votanti per validità elezioni (Quorum)</t>
  </si>
  <si>
    <t>Informazioni e normativa su:</t>
  </si>
  <si>
    <t>14, 15, 16 APRILE 2025</t>
  </si>
  <si>
    <t>Seggi da ripartire
(Numero RSU da eleggere)</t>
  </si>
  <si>
    <t>Dettaglio delle operazioni di calcolo</t>
  </si>
  <si>
    <t>RISULTATO ASSEGNAZIONE SEGGI:</t>
  </si>
  <si>
    <t>FOGLIO DI CALCOLO ASSEGNAZIONE SEGGI ALLE LISTE PER LE ELEZIONI RSU
aggiornato ai sensi dell'ACNQ RSU del 12 aprile 2022 e della Circolare Aran 1/2025</t>
  </si>
  <si>
    <t>DETTAGLIO DEL CALCOLO RIPARTIZIONE SEGGI</t>
  </si>
  <si>
    <t>Rappresenta il numero minimo necessario di voti per ottenere un seggio nella 1ª fase di assegnazione dei seggi - vedi (b). 
Il quorum si calcola dividendo il numero dei voti validi per il numero dei seggi attribuibili, senza alcun arrotondamento e con i suoi decimali.</t>
  </si>
  <si>
    <r>
      <t>In caso di</t>
    </r>
    <r>
      <rPr>
        <b/>
        <sz val="10"/>
        <rFont val="Arial"/>
        <family val="2"/>
      </rPr>
      <t xml:space="preserve"> parità di resti</t>
    </r>
    <r>
      <rPr>
        <sz val="10"/>
        <rFont val="Arial"/>
        <family val="2"/>
      </rPr>
      <t xml:space="preserve">, il seggio viene attribuito alla </t>
    </r>
    <r>
      <rPr>
        <b/>
        <sz val="10"/>
        <rFont val="Arial"/>
        <family val="2"/>
      </rPr>
      <t>lista</t>
    </r>
    <r>
      <rPr>
        <sz val="10"/>
        <rFont val="Arial"/>
        <family val="2"/>
      </rPr>
      <t xml:space="preserve"> che ha ottenuto complessivamente il </t>
    </r>
    <r>
      <rPr>
        <b/>
        <sz val="10"/>
        <rFont val="Arial"/>
        <family val="2"/>
      </rPr>
      <t>maggior numero di vot</t>
    </r>
    <r>
      <rPr>
        <sz val="10"/>
        <rFont val="Arial"/>
        <family val="2"/>
      </rPr>
      <t>i (da non confondere con le preferenze).</t>
    </r>
  </si>
  <si>
    <r>
      <t xml:space="preserve">A </t>
    </r>
    <r>
      <rPr>
        <b/>
        <sz val="10"/>
        <rFont val="Arial"/>
        <family val="2"/>
      </rPr>
      <t>parità di genere</t>
    </r>
    <r>
      <rPr>
        <sz val="10"/>
        <rFont val="Arial"/>
        <family val="2"/>
      </rPr>
      <t xml:space="preserve"> (e solo se non fossero già stati assegnati tutti i seggi  nei passaggi precedenti), al componente anagraficamente </t>
    </r>
    <r>
      <rPr>
        <b/>
        <sz val="10"/>
        <rFont val="Arial"/>
        <family val="2"/>
      </rPr>
      <t>più giovane</t>
    </r>
    <r>
      <rPr>
        <sz val="10"/>
        <rFont val="Arial"/>
        <family val="2"/>
      </rPr>
      <t>.</t>
    </r>
  </si>
  <si>
    <r>
      <t xml:space="preserve">In caso di </t>
    </r>
    <r>
      <rPr>
        <b/>
        <sz val="10"/>
        <rFont val="Arial"/>
        <family val="2"/>
      </rPr>
      <t xml:space="preserve">parità di voti </t>
    </r>
    <r>
      <rPr>
        <sz val="10"/>
        <rFont val="Arial"/>
        <family val="2"/>
      </rPr>
      <t xml:space="preserve">(dove si intende voti alla lista non preferenze -  e solo se non fossero già stati assegnati tutti i seggi nei passaggi precedenti), il seggio viene attribuito al componente del </t>
    </r>
    <r>
      <rPr>
        <b/>
        <sz val="10"/>
        <rFont val="Arial"/>
        <family val="2"/>
      </rPr>
      <t>genere meno rappresentato</t>
    </r>
    <r>
      <rPr>
        <sz val="10"/>
        <rFont val="Arial"/>
        <family val="2"/>
      </rPr>
      <t xml:space="preserve"> in seno alla RSU. A tal fine è necessario procedere ad una simulazione di assegnazione dei seggi ai candidati aventi titolo per verificare la distribuzione fra i generi.</t>
    </r>
  </si>
  <si>
    <t xml:space="preserve">Seggi contesi da assegnare manualmente </t>
  </si>
  <si>
    <r>
      <rPr>
        <b/>
        <sz val="10"/>
        <rFont val="Arial"/>
        <family val="2"/>
      </rPr>
      <t>ISTRUZIONI
per il corretto funzionamento del calcolatore</t>
    </r>
    <r>
      <rPr>
        <sz val="10"/>
        <rFont val="Arial"/>
        <family val="2"/>
      </rPr>
      <t xml:space="preserve">:
Inserire i dati nelle sole </t>
    </r>
    <r>
      <rPr>
        <b/>
        <sz val="10"/>
        <rFont val="Arial"/>
        <family val="2"/>
      </rPr>
      <t>caselle verdi</t>
    </r>
    <r>
      <rPr>
        <sz val="10"/>
        <rFont val="Arial"/>
        <family val="2"/>
      </rPr>
      <t xml:space="preserve"> (non protette).
I dati relativi alle denominazioni (Amministrazione / collegio elettorale, liste, ecc. NON sono essenziali).
Tutti i dati relativi ad aventi diritto, votanti, schede, voti alle liste e numero di RSU da eleggere sono, ovviamente, </t>
    </r>
    <r>
      <rPr>
        <b/>
        <sz val="10"/>
        <rFont val="Arial"/>
        <family val="2"/>
      </rPr>
      <t>DATI NECESSARI AL CALCOLO</t>
    </r>
    <r>
      <rPr>
        <sz val="10"/>
        <rFont val="Arial"/>
        <family val="2"/>
      </rPr>
      <t xml:space="preserve">.
Nella </t>
    </r>
    <r>
      <rPr>
        <b/>
        <sz val="10"/>
        <rFont val="Arial"/>
        <family val="2"/>
      </rPr>
      <t>caselle bianche</t>
    </r>
    <r>
      <rPr>
        <sz val="10"/>
        <rFont val="Arial"/>
        <family val="2"/>
      </rPr>
      <t xml:space="preserve"> (protette) compariranno i risultati del calcolo di assegnazione seggi.
Nelle</t>
    </r>
    <r>
      <rPr>
        <b/>
        <sz val="10"/>
        <rFont val="Arial"/>
        <family val="2"/>
      </rPr>
      <t xml:space="preserve"> caselle gialle</t>
    </r>
    <r>
      <rPr>
        <sz val="10"/>
        <rFont val="Arial"/>
        <family val="2"/>
      </rPr>
      <t xml:space="preserve"> (protette) sono inseriti i "controlli di congruità" che evidenziano la correttezza del dato ("OK") o eventuali </t>
    </r>
    <r>
      <rPr>
        <b/>
        <sz val="10"/>
        <rFont val="Arial"/>
        <family val="2"/>
      </rPr>
      <t>ERRORI</t>
    </r>
    <r>
      <rPr>
        <sz val="10"/>
        <rFont val="Arial"/>
        <family val="2"/>
      </rPr>
      <t xml:space="preserve"> da verificare ("??").</t>
    </r>
  </si>
  <si>
    <t>c) Assegnazione seggi per migliori Resti</t>
  </si>
  <si>
    <t>CALCOLO DI ASSEGNAZIONE SEGGI</t>
  </si>
  <si>
    <t>Totale seggi assegnati da passagi b) e c)</t>
  </si>
  <si>
    <t>1)</t>
  </si>
  <si>
    <t>2)</t>
  </si>
  <si>
    <t>3)</t>
  </si>
  <si>
    <t>IC 5 IMOLA</t>
  </si>
  <si>
    <t>scuola</t>
  </si>
  <si>
    <t>via pirandello 12</t>
  </si>
  <si>
    <t>Imola</t>
  </si>
  <si>
    <t>bo</t>
  </si>
  <si>
    <t>FLC CGIL</t>
  </si>
  <si>
    <t>ANIEF</t>
  </si>
  <si>
    <t>GILDA</t>
  </si>
  <si>
    <t>Federazione CISL - Scuola, Università, Ricerca</t>
  </si>
  <si>
    <t>FEDERAZIONE UIL SCUOLA RUA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</si>
</sst>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0.00000"/>
    <numFmt numFmtId="165" formatCode="0.00000"/>
  </numFmts>
  <fonts count="43" x14ac:knownFonts="1">
    <font>
      <sz val="10"/>
      <name val="Arial"/>
    </font>
    <font>
      <b/>
      <sz val="10"/>
      <name val="Arial"/>
      <family val="2"/>
    </font>
    <font>
      <sz val="8"/>
      <name val="Arial"/>
      <family val="2"/>
    </font>
    <font>
      <b/>
      <sz val="8"/>
      <name val="Arial"/>
      <family val="2"/>
    </font>
    <font>
      <b/>
      <sz val="12"/>
      <name val="Arial"/>
      <family val="2"/>
    </font>
    <font>
      <b/>
      <sz val="9"/>
      <name val="Arial"/>
      <family val="2"/>
    </font>
    <font>
      <sz val="8"/>
      <name val="Arial"/>
      <family val="2"/>
    </font>
    <font>
      <b/>
      <sz val="10"/>
      <color indexed="10"/>
      <name val="Arial"/>
      <family val="2"/>
    </font>
    <font>
      <b/>
      <sz val="8"/>
      <color indexed="10"/>
      <name val="Arial"/>
      <family val="2"/>
    </font>
    <font>
      <b/>
      <sz val="12"/>
      <color indexed="10"/>
      <name val="Arial"/>
      <family val="2"/>
    </font>
    <font>
      <sz val="10"/>
      <name val="Arial"/>
      <family val="2"/>
    </font>
    <font>
      <b/>
      <sz val="8"/>
      <color indexed="81"/>
      <name val="Tahoma"/>
      <family val="2"/>
    </font>
    <font>
      <b/>
      <sz val="11"/>
      <color indexed="10"/>
      <name val="Arial"/>
      <family val="2"/>
    </font>
    <font>
      <sz val="8"/>
      <color indexed="81"/>
      <name val="Tahoma"/>
      <family val="2"/>
    </font>
    <font>
      <u/>
      <sz val="10"/>
      <color theme="10"/>
      <name val="Arial"/>
      <family val="2"/>
    </font>
    <font>
      <sz val="9"/>
      <color indexed="81"/>
      <name val="Tahoma"/>
      <family val="2"/>
    </font>
    <font>
      <b/>
      <sz val="9"/>
      <color indexed="81"/>
      <name val="Tahoma"/>
      <family val="2"/>
    </font>
    <font>
      <sz val="10"/>
      <name val="Arial"/>
      <family val="2"/>
    </font>
    <font>
      <i/>
      <sz val="10"/>
      <name val="Arial"/>
      <family val="2"/>
    </font>
    <font>
      <i/>
      <sz val="8"/>
      <name val="Arial"/>
      <family val="2"/>
    </font>
    <font>
      <i/>
      <sz val="9"/>
      <name val="Arial"/>
      <family val="2"/>
    </font>
    <font>
      <b/>
      <i/>
      <sz val="10"/>
      <name val="Arial"/>
      <family val="2"/>
    </font>
    <font>
      <b/>
      <i/>
      <sz val="9"/>
      <color theme="2" tint="-0.749992370372631"/>
      <name val="Arial"/>
      <family val="2"/>
    </font>
    <font>
      <sz val="9"/>
      <name val="Arial"/>
      <family val="2"/>
    </font>
    <font>
      <b/>
      <sz val="12"/>
      <color rgb="FFC00000"/>
      <name val="Arial"/>
      <family val="2"/>
    </font>
    <font>
      <b/>
      <u/>
      <sz val="11"/>
      <color theme="10"/>
      <name val="Arial"/>
      <family val="2"/>
    </font>
    <font>
      <b/>
      <sz val="10"/>
      <color indexed="81"/>
      <name val="Tahoma"/>
      <family val="2"/>
    </font>
    <font>
      <sz val="10"/>
      <color indexed="81"/>
      <name val="Tahoma"/>
      <family val="2"/>
    </font>
    <font>
      <b/>
      <sz val="10"/>
      <color rgb="FF002060"/>
      <name val="Arial"/>
      <family val="2"/>
    </font>
    <font>
      <b/>
      <sz val="12"/>
      <color rgb="FF002060"/>
      <name val="Arial"/>
      <family val="2"/>
    </font>
    <font>
      <b/>
      <sz val="9"/>
      <color rgb="FF002060"/>
      <name val="Arial"/>
      <family val="2"/>
    </font>
    <font>
      <b/>
      <sz val="9"/>
      <color theme="0"/>
      <name val="Arial"/>
      <family val="2"/>
    </font>
    <font>
      <sz val="10"/>
      <color theme="0"/>
      <name val="Arial"/>
      <family val="2"/>
    </font>
    <font>
      <sz val="10"/>
      <color theme="0" tint="-0.499984740745262"/>
      <name val="Arial"/>
      <family val="2"/>
    </font>
    <font>
      <b/>
      <sz val="10"/>
      <name val="Arial Narrow"/>
      <family val="2"/>
    </font>
    <font>
      <b/>
      <sz val="9"/>
      <name val="Arial Narrow"/>
      <family val="2"/>
    </font>
    <font>
      <b/>
      <i/>
      <sz val="8"/>
      <color theme="2" tint="-0.749992370372631"/>
      <name val="Arial"/>
      <family val="2"/>
    </font>
    <font>
      <i/>
      <sz val="8"/>
      <color theme="2" tint="-0.749992370372631"/>
      <name val="Arial"/>
      <family val="2"/>
    </font>
    <font>
      <b/>
      <sz val="11"/>
      <color rgb="FFFF0000"/>
      <name val="Arial Narrow"/>
      <family val="2"/>
    </font>
    <font>
      <b/>
      <sz val="10"/>
      <color rgb="FFC00000"/>
      <name val="Arial"/>
      <family val="2"/>
    </font>
    <font>
      <sz val="8"/>
      <color rgb="FF000000"/>
      <name val="Tahoma"/>
      <family val="2"/>
    </font>
    <font>
      <b/>
      <sz val="8"/>
      <color rgb="FF000000"/>
      <name val="Tahoma"/>
      <family val="2"/>
    </font>
    <font>
      <b/>
      <sz val="9"/>
      <color rgb="FF000000"/>
      <name val="Tahoma"/>
      <family val="2"/>
    </font>
  </fonts>
  <fills count="11">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9"/>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tint="-0.499984740745262"/>
        <bgColor indexed="64"/>
      </patternFill>
    </fill>
  </fills>
  <borders count="44">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3">
    <xf numFmtId="0" fontId="0" fillId="0" borderId="0"/>
    <xf numFmtId="0" fontId="14" fillId="0" borderId="0" applyNumberFormat="0" applyFill="0" applyBorder="0" applyAlignment="0" applyProtection="0"/>
    <xf numFmtId="9" fontId="17" fillId="0" borderId="0" applyFont="0" applyFill="0" applyBorder="0" applyAlignment="0" applyProtection="0"/>
  </cellStyleXfs>
  <cellXfs count="227">
    <xf numFmtId="0" fontId="0" fillId="0" borderId="0" xfId="0"/>
    <xf numFmtId="0" fontId="1" fillId="0" borderId="1" xfId="0" applyFont="1" applyBorder="1" applyAlignment="1">
      <alignment horizontal="center"/>
    </xf>
    <xf numFmtId="0" fontId="3" fillId="0" borderId="4" xfId="0" applyFont="1" applyBorder="1" applyAlignment="1">
      <alignment horizontal="center"/>
    </xf>
    <xf numFmtId="0" fontId="1" fillId="0" borderId="4" xfId="0" applyFont="1" applyBorder="1" applyAlignment="1">
      <alignment horizontal="center"/>
    </xf>
    <xf numFmtId="0" fontId="1" fillId="0" borderId="4" xfId="0" applyFont="1" applyBorder="1" applyAlignment="1">
      <alignment horizontal="right"/>
    </xf>
    <xf numFmtId="0" fontId="2" fillId="0" borderId="6" xfId="0" applyFont="1" applyBorder="1"/>
    <xf numFmtId="0" fontId="12" fillId="0" borderId="4" xfId="0" applyFont="1" applyBorder="1" applyAlignment="1">
      <alignment horizontal="center"/>
    </xf>
    <xf numFmtId="1" fontId="1" fillId="2" borderId="4" xfId="0" applyNumberFormat="1" applyFont="1" applyFill="1" applyBorder="1" applyAlignment="1">
      <alignment horizontal="center"/>
    </xf>
    <xf numFmtId="0" fontId="1" fillId="2" borderId="23" xfId="0" applyFont="1" applyFill="1" applyBorder="1" applyAlignment="1">
      <alignment horizontal="center"/>
    </xf>
    <xf numFmtId="0" fontId="1" fillId="0" borderId="4" xfId="0" applyFont="1" applyBorder="1" applyAlignment="1">
      <alignment vertical="center"/>
    </xf>
    <xf numFmtId="0" fontId="9" fillId="0" borderId="4" xfId="0" applyFont="1" applyBorder="1" applyAlignment="1">
      <alignment horizontal="center" vertical="center"/>
    </xf>
    <xf numFmtId="0" fontId="4" fillId="0" borderId="1" xfId="0" applyFont="1" applyBorder="1" applyAlignment="1">
      <alignment vertical="center"/>
    </xf>
    <xf numFmtId="0" fontId="0" fillId="0" borderId="13" xfId="0" applyBorder="1" applyAlignment="1">
      <alignment vertical="center"/>
    </xf>
    <xf numFmtId="0" fontId="0" fillId="0" borderId="14" xfId="0" applyBorder="1" applyAlignment="1">
      <alignment vertical="center"/>
    </xf>
    <xf numFmtId="165" fontId="7" fillId="0" borderId="1" xfId="0" applyNumberFormat="1" applyFont="1" applyBorder="1" applyAlignment="1">
      <alignment horizontal="center"/>
    </xf>
    <xf numFmtId="0" fontId="9" fillId="4" borderId="25" xfId="0" applyFont="1" applyFill="1" applyBorder="1" applyAlignment="1">
      <alignment horizontal="center" vertical="center"/>
    </xf>
    <xf numFmtId="0" fontId="5" fillId="0" borderId="4" xfId="0" applyFont="1" applyBorder="1" applyAlignment="1">
      <alignment horizontal="center" vertical="center"/>
    </xf>
    <xf numFmtId="1" fontId="7" fillId="0" borderId="17" xfId="0" applyNumberFormat="1" applyFont="1" applyBorder="1" applyAlignment="1">
      <alignment horizontal="center" vertical="center"/>
    </xf>
    <xf numFmtId="1" fontId="12" fillId="0" borderId="17" xfId="0" applyNumberFormat="1" applyFont="1" applyBorder="1" applyAlignment="1">
      <alignment horizontal="center" vertical="center"/>
    </xf>
    <xf numFmtId="165" fontId="6" fillId="0" borderId="7" xfId="0" applyNumberFormat="1" applyFont="1" applyBorder="1" applyAlignment="1">
      <alignment horizontal="right"/>
    </xf>
    <xf numFmtId="165" fontId="6" fillId="0" borderId="9" xfId="0" applyNumberFormat="1" applyFont="1" applyBorder="1" applyAlignment="1">
      <alignment horizontal="right"/>
    </xf>
    <xf numFmtId="165" fontId="6" fillId="0" borderId="5" xfId="0" applyNumberFormat="1" applyFont="1" applyBorder="1" applyAlignment="1">
      <alignment horizontal="right"/>
    </xf>
    <xf numFmtId="165" fontId="6" fillId="0" borderId="0" xfId="0" applyNumberFormat="1" applyFont="1" applyAlignment="1">
      <alignment horizontal="right"/>
    </xf>
    <xf numFmtId="165" fontId="6" fillId="0" borderId="8" xfId="0" applyNumberFormat="1" applyFont="1" applyBorder="1" applyAlignment="1">
      <alignment horizontal="right"/>
    </xf>
    <xf numFmtId="165" fontId="6" fillId="0" borderId="11" xfId="0" applyNumberFormat="1" applyFont="1" applyBorder="1" applyAlignment="1">
      <alignment horizontal="right"/>
    </xf>
    <xf numFmtId="165" fontId="6" fillId="0" borderId="6" xfId="0" applyNumberFormat="1" applyFont="1" applyBorder="1"/>
    <xf numFmtId="165" fontId="2" fillId="0" borderId="6" xfId="0" applyNumberFormat="1" applyFont="1" applyBorder="1"/>
    <xf numFmtId="0" fontId="28" fillId="3" borderId="1" xfId="0" applyFont="1" applyFill="1" applyBorder="1" applyAlignment="1" applyProtection="1">
      <alignment horizontal="right" vertical="center"/>
      <protection locked="0"/>
    </xf>
    <xf numFmtId="0" fontId="28" fillId="3" borderId="4" xfId="0" applyFont="1" applyFill="1" applyBorder="1" applyAlignment="1" applyProtection="1">
      <alignment vertical="center"/>
      <protection locked="0"/>
    </xf>
    <xf numFmtId="0" fontId="4" fillId="0" borderId="4" xfId="0" applyFont="1" applyBorder="1" applyAlignment="1">
      <alignment horizontal="right" vertical="center"/>
    </xf>
    <xf numFmtId="0" fontId="0" fillId="0" borderId="0" xfId="0" applyAlignment="1">
      <alignment horizontal="center"/>
    </xf>
    <xf numFmtId="0" fontId="7" fillId="0" borderId="6" xfId="0" applyFont="1" applyBorder="1" applyAlignment="1">
      <alignment horizontal="center"/>
    </xf>
    <xf numFmtId="1" fontId="8" fillId="0" borderId="6" xfId="0" applyNumberFormat="1" applyFont="1" applyBorder="1" applyAlignment="1">
      <alignment horizontal="center"/>
    </xf>
    <xf numFmtId="0" fontId="0" fillId="0" borderId="29" xfId="0"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5" xfId="0" applyBorder="1" applyAlignment="1">
      <alignment horizontal="center"/>
    </xf>
    <xf numFmtId="0" fontId="0" fillId="0" borderId="30"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32" fillId="0" borderId="0" xfId="0" applyFont="1"/>
    <xf numFmtId="0" fontId="33" fillId="10" borderId="7" xfId="0" applyFont="1" applyFill="1" applyBorder="1" applyAlignment="1">
      <alignment horizontal="center"/>
    </xf>
    <xf numFmtId="0" fontId="33" fillId="10" borderId="10" xfId="0" applyFont="1" applyFill="1" applyBorder="1"/>
    <xf numFmtId="0" fontId="33" fillId="10" borderId="5" xfId="0" applyFont="1" applyFill="1" applyBorder="1" applyAlignment="1">
      <alignment horizontal="center"/>
    </xf>
    <xf numFmtId="0" fontId="33" fillId="10" borderId="30" xfId="0" applyFont="1" applyFill="1" applyBorder="1"/>
    <xf numFmtId="0" fontId="33" fillId="10" borderId="8" xfId="0" applyFont="1" applyFill="1" applyBorder="1" applyAlignment="1">
      <alignment horizontal="center"/>
    </xf>
    <xf numFmtId="0" fontId="33" fillId="10" borderId="12" xfId="0" applyFont="1" applyFill="1" applyBorder="1"/>
    <xf numFmtId="0" fontId="5" fillId="0" borderId="21" xfId="0" applyFont="1" applyBorder="1" applyAlignment="1">
      <alignment horizontal="center" vertical="center"/>
    </xf>
    <xf numFmtId="0" fontId="5" fillId="0" borderId="24" xfId="0" applyFont="1" applyBorder="1" applyAlignment="1">
      <alignment horizontal="center" vertical="center"/>
    </xf>
    <xf numFmtId="1" fontId="12" fillId="0" borderId="22" xfId="0" applyNumberFormat="1" applyFont="1" applyBorder="1" applyAlignment="1">
      <alignment horizontal="center" vertical="center"/>
    </xf>
    <xf numFmtId="1" fontId="0" fillId="0" borderId="0" xfId="0" applyNumberFormat="1"/>
    <xf numFmtId="0" fontId="10" fillId="0" borderId="0" xfId="0" applyFont="1"/>
    <xf numFmtId="41" fontId="0" fillId="0" borderId="0" xfId="0" applyNumberFormat="1"/>
    <xf numFmtId="1" fontId="7" fillId="0" borderId="21" xfId="0" applyNumberFormat="1" applyFont="1" applyBorder="1" applyAlignment="1">
      <alignment horizontal="center" vertical="center"/>
    </xf>
    <xf numFmtId="1" fontId="10" fillId="0" borderId="21" xfId="0" applyNumberFormat="1" applyFont="1" applyBorder="1" applyAlignment="1">
      <alignment horizontal="center" vertical="center"/>
    </xf>
    <xf numFmtId="49" fontId="21" fillId="0" borderId="0" xfId="0" applyNumberFormat="1" applyFont="1" applyAlignment="1">
      <alignment vertical="center"/>
    </xf>
    <xf numFmtId="0" fontId="5" fillId="0" borderId="0" xfId="0" applyFont="1" applyAlignment="1">
      <alignment vertical="center" wrapText="1"/>
    </xf>
    <xf numFmtId="0" fontId="1" fillId="0" borderId="0" xfId="0" applyFont="1" applyAlignment="1">
      <alignment vertical="center"/>
    </xf>
    <xf numFmtId="41" fontId="1" fillId="0" borderId="2" xfId="0" applyNumberFormat="1" applyFont="1" applyBorder="1" applyAlignment="1">
      <alignment horizontal="center" vertical="center" wrapText="1"/>
    </xf>
    <xf numFmtId="41" fontId="1" fillId="0" borderId="23" xfId="0" applyNumberFormat="1" applyFont="1" applyBorder="1" applyAlignment="1">
      <alignment horizontal="center" vertical="center" wrapText="1"/>
    </xf>
    <xf numFmtId="0" fontId="1" fillId="0" borderId="21"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3"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41" fontId="7" fillId="0" borderId="2" xfId="0" applyNumberFormat="1" applyFont="1" applyBorder="1" applyAlignment="1">
      <alignment horizontal="center" vertical="center" wrapText="1"/>
    </xf>
    <xf numFmtId="41" fontId="7" fillId="0" borderId="22" xfId="0" applyNumberFormat="1" applyFont="1" applyBorder="1" applyAlignment="1">
      <alignment horizontal="center" vertical="center" wrapText="1"/>
    </xf>
    <xf numFmtId="41" fontId="7" fillId="0" borderId="23" xfId="0" applyNumberFormat="1" applyFont="1" applyBorder="1" applyAlignment="1">
      <alignment horizontal="center" vertical="center" wrapText="1"/>
    </xf>
    <xf numFmtId="0" fontId="22" fillId="0" borderId="2" xfId="0" applyFont="1" applyBorder="1" applyAlignment="1">
      <alignment horizontal="center" vertical="center"/>
    </xf>
    <xf numFmtId="0" fontId="22" fillId="0" borderId="23" xfId="0" applyFont="1" applyBorder="1" applyAlignment="1">
      <alignment horizontal="center" vertical="center"/>
    </xf>
    <xf numFmtId="164" fontId="36" fillId="0" borderId="2" xfId="0" applyNumberFormat="1" applyFont="1" applyBorder="1" applyAlignment="1">
      <alignment horizontal="center" vertical="center"/>
    </xf>
    <xf numFmtId="164" fontId="37" fillId="0" borderId="23" xfId="0" applyNumberFormat="1" applyFont="1" applyBorder="1" applyAlignment="1">
      <alignment horizontal="center" vertical="center"/>
    </xf>
    <xf numFmtId="0" fontId="0" fillId="0" borderId="0" xfId="0" applyAlignment="1">
      <alignment horizontal="center"/>
    </xf>
    <xf numFmtId="0" fontId="0" fillId="0" borderId="18"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24" fillId="0" borderId="0" xfId="0" applyFont="1" applyAlignment="1">
      <alignment horizontal="center" wrapText="1"/>
    </xf>
    <xf numFmtId="0" fontId="1" fillId="0" borderId="0" xfId="0" applyFont="1" applyAlignment="1">
      <alignment horizontal="center" vertical="center"/>
    </xf>
    <xf numFmtId="0" fontId="39" fillId="0" borderId="17" xfId="0" applyFont="1" applyBorder="1" applyAlignment="1">
      <alignment horizontal="left" vertical="center" wrapText="1"/>
    </xf>
    <xf numFmtId="0" fontId="39" fillId="0" borderId="0" xfId="0" applyFont="1" applyAlignment="1">
      <alignment horizontal="left" vertical="center" wrapText="1"/>
    </xf>
    <xf numFmtId="0" fontId="10" fillId="5" borderId="0" xfId="0" applyFont="1" applyFill="1" applyAlignment="1">
      <alignment horizontal="left" vertical="top" wrapText="1"/>
    </xf>
    <xf numFmtId="0" fontId="10" fillId="0" borderId="0" xfId="0" applyFont="1" applyAlignment="1">
      <alignment horizontal="center" vertical="center"/>
    </xf>
    <xf numFmtId="0" fontId="0" fillId="0" borderId="0" xfId="0" applyAlignment="1">
      <alignment horizontal="center" vertical="center"/>
    </xf>
    <xf numFmtId="0" fontId="1" fillId="6" borderId="24" xfId="0" applyFont="1" applyFill="1" applyBorder="1" applyAlignment="1">
      <alignment horizontal="center" vertical="center" wrapText="1"/>
    </xf>
    <xf numFmtId="0" fontId="1" fillId="6" borderId="43"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28" fillId="3" borderId="34" xfId="0" applyFont="1" applyFill="1" applyBorder="1" applyAlignment="1" applyProtection="1">
      <alignment horizontal="center" vertical="center" wrapText="1"/>
      <protection locked="0"/>
    </xf>
    <xf numFmtId="0" fontId="28" fillId="3" borderId="36" xfId="0" applyFont="1" applyFill="1" applyBorder="1" applyAlignment="1" applyProtection="1">
      <alignment horizontal="center" vertical="center" wrapText="1"/>
      <protection locked="0"/>
    </xf>
    <xf numFmtId="0" fontId="28" fillId="3" borderId="38" xfId="0" applyFont="1" applyFill="1" applyBorder="1" applyAlignment="1" applyProtection="1">
      <alignment horizontal="center" vertical="center" wrapText="1"/>
      <protection locked="0"/>
    </xf>
    <xf numFmtId="0" fontId="28" fillId="3" borderId="33" xfId="0" applyFont="1" applyFill="1" applyBorder="1" applyAlignment="1" applyProtection="1">
      <alignment horizontal="center" vertical="center" wrapText="1"/>
      <protection locked="0"/>
    </xf>
    <xf numFmtId="0" fontId="28" fillId="3" borderId="35" xfId="0" applyFont="1" applyFill="1" applyBorder="1" applyAlignment="1" applyProtection="1">
      <alignment horizontal="center" vertical="center" wrapText="1"/>
      <protection locked="0"/>
    </xf>
    <xf numFmtId="0" fontId="28" fillId="3" borderId="37" xfId="0" applyFont="1" applyFill="1" applyBorder="1" applyAlignment="1" applyProtection="1">
      <alignment horizontal="center" vertical="center" wrapText="1"/>
      <protection locked="0"/>
    </xf>
    <xf numFmtId="0" fontId="0" fillId="0" borderId="17" xfId="0" applyBorder="1" applyAlignment="1">
      <alignment horizontal="center"/>
    </xf>
    <xf numFmtId="0" fontId="31" fillId="9" borderId="21" xfId="0" applyFont="1" applyFill="1" applyBorder="1" applyAlignment="1">
      <alignment horizontal="center" vertical="center" wrapText="1"/>
    </xf>
    <xf numFmtId="0" fontId="31" fillId="9" borderId="15" xfId="0" applyFont="1" applyFill="1" applyBorder="1" applyAlignment="1">
      <alignment horizontal="center" vertical="center" wrapText="1"/>
    </xf>
    <xf numFmtId="0" fontId="31" fillId="9" borderId="3" xfId="0" applyFont="1" applyFill="1" applyBorder="1" applyAlignment="1">
      <alignment horizontal="center" vertical="center" wrapText="1"/>
    </xf>
    <xf numFmtId="0" fontId="31" fillId="9" borderId="19" xfId="0" applyFont="1" applyFill="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0" fillId="0" borderId="13" xfId="0" applyBorder="1" applyAlignment="1">
      <alignment horizontal="center"/>
    </xf>
    <xf numFmtId="0" fontId="1" fillId="2" borderId="2"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0" borderId="21"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Alignment="1">
      <alignment horizontal="center" vertical="center" wrapText="1"/>
    </xf>
    <xf numFmtId="0" fontId="1" fillId="0" borderId="1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0" fillId="0" borderId="19" xfId="0" applyBorder="1" applyAlignment="1">
      <alignment horizontal="center"/>
    </xf>
    <xf numFmtId="10" fontId="21" fillId="0" borderId="16" xfId="2" applyNumberFormat="1" applyFont="1" applyBorder="1" applyAlignment="1">
      <alignment horizontal="center" vertical="center" wrapText="1"/>
    </xf>
    <xf numFmtId="10" fontId="21" fillId="0" borderId="18" xfId="2" applyNumberFormat="1" applyFont="1" applyBorder="1" applyAlignment="1">
      <alignment horizontal="center" vertical="center" wrapText="1"/>
    </xf>
    <xf numFmtId="10" fontId="21" fillId="0" borderId="20" xfId="2" applyNumberFormat="1" applyFont="1" applyBorder="1" applyAlignment="1">
      <alignment horizontal="center" vertical="center" wrapText="1"/>
    </xf>
    <xf numFmtId="0" fontId="21" fillId="0" borderId="21"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3"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6" borderId="2" xfId="0" applyFont="1" applyFill="1" applyBorder="1" applyAlignment="1">
      <alignment horizontal="center" vertical="center"/>
    </xf>
    <xf numFmtId="0" fontId="1" fillId="6" borderId="23" xfId="0" applyFont="1" applyFill="1" applyBorder="1" applyAlignment="1">
      <alignment horizontal="center" vertical="center"/>
    </xf>
    <xf numFmtId="41" fontId="1" fillId="6" borderId="0" xfId="0" applyNumberFormat="1" applyFont="1" applyFill="1" applyAlignment="1">
      <alignment horizontal="center" vertical="center"/>
    </xf>
    <xf numFmtId="0" fontId="24" fillId="0" borderId="0" xfId="0" applyFont="1" applyAlignment="1">
      <alignment horizontal="center" vertical="center" wrapText="1"/>
    </xf>
    <xf numFmtId="0" fontId="34" fillId="0" borderId="2" xfId="0" applyFont="1" applyBorder="1" applyAlignment="1">
      <alignment horizontal="center" vertical="center" wrapText="1"/>
    </xf>
    <xf numFmtId="0" fontId="34" fillId="0" borderId="23" xfId="0" applyFont="1" applyBorder="1" applyAlignment="1">
      <alignment horizontal="center" vertical="center" wrapText="1"/>
    </xf>
    <xf numFmtId="0" fontId="1" fillId="0" borderId="2"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5" fillId="0" borderId="2"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20" fillId="0" borderId="2" xfId="0" applyFont="1" applyBorder="1" applyAlignment="1">
      <alignment horizontal="center" vertical="center"/>
    </xf>
    <xf numFmtId="0" fontId="20" fillId="0" borderId="23" xfId="0" applyFont="1" applyBorder="1" applyAlignment="1">
      <alignment horizontal="center" vertical="center"/>
    </xf>
    <xf numFmtId="0" fontId="28" fillId="3" borderId="1" xfId="0" applyFont="1" applyFill="1" applyBorder="1" applyAlignment="1" applyProtection="1">
      <alignment horizontal="center" vertical="center"/>
      <protection locked="0"/>
    </xf>
    <xf numFmtId="0" fontId="28" fillId="3" borderId="13" xfId="0" applyFont="1" applyFill="1" applyBorder="1" applyAlignment="1" applyProtection="1">
      <alignment horizontal="center" vertical="center"/>
      <protection locked="0"/>
    </xf>
    <xf numFmtId="0" fontId="28" fillId="3" borderId="14" xfId="0" applyFont="1" applyFill="1" applyBorder="1" applyAlignment="1" applyProtection="1">
      <alignment horizontal="center" vertical="center"/>
      <protection locked="0"/>
    </xf>
    <xf numFmtId="0" fontId="25" fillId="0" borderId="0" xfId="1" applyFont="1" applyAlignment="1">
      <alignment horizontal="center" vertical="center"/>
    </xf>
    <xf numFmtId="0" fontId="29" fillId="3" borderId="2" xfId="0" applyFont="1" applyFill="1" applyBorder="1" applyAlignment="1" applyProtection="1">
      <alignment horizontal="center" vertical="center"/>
      <protection locked="0"/>
    </xf>
    <xf numFmtId="0" fontId="29" fillId="3" borderId="22" xfId="0" applyFont="1" applyFill="1" applyBorder="1" applyAlignment="1" applyProtection="1">
      <alignment horizontal="center" vertical="center"/>
      <protection locked="0"/>
    </xf>
    <xf numFmtId="0" fontId="29" fillId="3" borderId="23" xfId="0" applyFont="1" applyFill="1" applyBorder="1" applyAlignment="1" applyProtection="1">
      <alignment horizontal="center" vertical="center"/>
      <protection locked="0"/>
    </xf>
    <xf numFmtId="0" fontId="1" fillId="0" borderId="24"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43"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0" xfId="0" applyFont="1" applyBorder="1" applyAlignment="1">
      <alignment horizontal="center" vertical="center" wrapText="1"/>
    </xf>
    <xf numFmtId="0" fontId="30" fillId="3" borderId="1" xfId="0" applyFont="1" applyFill="1" applyBorder="1" applyAlignment="1" applyProtection="1">
      <alignment horizontal="center" vertical="center"/>
      <protection locked="0"/>
    </xf>
    <xf numFmtId="0" fontId="30" fillId="3" borderId="14"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5" fillId="0" borderId="14" xfId="0" applyFont="1" applyBorder="1" applyAlignment="1">
      <alignment horizontal="center" vertical="center"/>
    </xf>
    <xf numFmtId="0" fontId="1" fillId="0" borderId="1" xfId="0" applyFont="1" applyBorder="1" applyAlignment="1">
      <alignment horizontal="center" vertical="center"/>
    </xf>
    <xf numFmtId="0" fontId="1" fillId="0" borderId="14" xfId="0" applyFont="1" applyBorder="1" applyAlignment="1">
      <alignment horizontal="center" vertical="center"/>
    </xf>
    <xf numFmtId="0" fontId="5" fillId="0" borderId="13" xfId="0" applyFont="1" applyBorder="1" applyAlignment="1">
      <alignment horizontal="center" vertical="center"/>
    </xf>
    <xf numFmtId="0" fontId="5" fillId="5" borderId="1" xfId="0" applyFont="1" applyFill="1" applyBorder="1" applyAlignment="1">
      <alignment horizontal="center" vertical="center"/>
    </xf>
    <xf numFmtId="0" fontId="5" fillId="5" borderId="14" xfId="0" applyFont="1" applyFill="1" applyBorder="1" applyAlignment="1">
      <alignment horizontal="center" vertical="center"/>
    </xf>
    <xf numFmtId="0" fontId="19" fillId="0" borderId="17" xfId="0" applyFont="1" applyBorder="1" applyAlignment="1">
      <alignment horizontal="center" vertical="center"/>
    </xf>
    <xf numFmtId="0" fontId="19" fillId="0" borderId="0" xfId="0" applyFont="1" applyAlignment="1">
      <alignment horizontal="center" vertical="center"/>
    </xf>
    <xf numFmtId="49" fontId="1" fillId="0" borderId="9" xfId="0" applyNumberFormat="1" applyFont="1" applyBorder="1" applyAlignment="1">
      <alignment horizontal="center" vertical="center"/>
    </xf>
    <xf numFmtId="0" fontId="28" fillId="3" borderId="1" xfId="0" applyFont="1" applyFill="1" applyBorder="1" applyProtection="1">
      <protection locked="0"/>
    </xf>
    <xf numFmtId="0" fontId="28" fillId="3" borderId="13" xfId="0" applyFont="1" applyFill="1" applyBorder="1" applyProtection="1">
      <protection locked="0"/>
    </xf>
    <xf numFmtId="0" fontId="28" fillId="3" borderId="14" xfId="0" applyFont="1" applyFill="1" applyBorder="1" applyProtection="1">
      <protection locked="0"/>
    </xf>
    <xf numFmtId="0" fontId="23" fillId="0" borderId="7" xfId="0" applyFont="1" applyBorder="1" applyAlignment="1">
      <alignment horizontal="left" vertical="center" wrapText="1"/>
    </xf>
    <xf numFmtId="0" fontId="23" fillId="0" borderId="9" xfId="0" applyFont="1" applyBorder="1" applyAlignment="1">
      <alignment horizontal="left"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49" fontId="1" fillId="8" borderId="6" xfId="0" applyNumberFormat="1" applyFont="1" applyFill="1" applyBorder="1" applyAlignment="1">
      <alignment horizontal="center" vertical="center"/>
    </xf>
    <xf numFmtId="0" fontId="19" fillId="0" borderId="0" xfId="0" applyFont="1" applyAlignment="1">
      <alignment horizontal="center"/>
    </xf>
    <xf numFmtId="0" fontId="38" fillId="0" borderId="2" xfId="0" applyFont="1" applyBorder="1" applyAlignment="1">
      <alignment horizontal="left" vertical="center" wrapText="1"/>
    </xf>
    <xf numFmtId="0" fontId="38" fillId="0" borderId="22" xfId="0" applyFont="1" applyBorder="1" applyAlignment="1">
      <alignment horizontal="left" vertical="center" wrapText="1"/>
    </xf>
    <xf numFmtId="0" fontId="38" fillId="0" borderId="23" xfId="0" applyFont="1" applyBorder="1" applyAlignment="1">
      <alignment horizontal="left" vertical="center" wrapText="1"/>
    </xf>
    <xf numFmtId="0" fontId="5" fillId="8" borderId="2" xfId="0" applyFont="1" applyFill="1" applyBorder="1" applyAlignment="1">
      <alignment horizontal="left" vertical="center" wrapText="1"/>
    </xf>
    <xf numFmtId="0" fontId="5" fillId="8" borderId="22" xfId="0" applyFont="1" applyFill="1" applyBorder="1" applyAlignment="1">
      <alignment horizontal="left" vertical="center" wrapText="1"/>
    </xf>
    <xf numFmtId="0" fontId="5" fillId="8" borderId="23" xfId="0" applyFont="1" applyFill="1" applyBorder="1" applyAlignment="1">
      <alignment horizontal="left" vertical="center" wrapText="1"/>
    </xf>
    <xf numFmtId="0" fontId="5" fillId="8" borderId="23" xfId="0" applyFont="1" applyFill="1" applyBorder="1" applyAlignment="1">
      <alignment horizontal="left"/>
    </xf>
    <xf numFmtId="49" fontId="21" fillId="0" borderId="17" xfId="0" applyNumberFormat="1" applyFont="1" applyBorder="1" applyAlignment="1">
      <alignment horizontal="center" vertical="center"/>
    </xf>
    <xf numFmtId="49" fontId="21" fillId="0" borderId="0" xfId="0" applyNumberFormat="1" applyFont="1" applyAlignment="1">
      <alignment horizontal="center" vertical="center"/>
    </xf>
    <xf numFmtId="0" fontId="35" fillId="0" borderId="6" xfId="0" applyFont="1" applyBorder="1" applyAlignment="1">
      <alignment horizontal="center" vertical="center" wrapText="1"/>
    </xf>
    <xf numFmtId="0" fontId="1" fillId="0" borderId="1" xfId="0" applyFont="1" applyBorder="1" applyAlignment="1">
      <alignment horizontal="center"/>
    </xf>
    <xf numFmtId="0" fontId="1" fillId="0" borderId="14" xfId="0" applyFont="1" applyBorder="1" applyAlignment="1">
      <alignment horizontal="center"/>
    </xf>
    <xf numFmtId="0" fontId="35" fillId="0" borderId="6" xfId="0" applyFont="1" applyBorder="1" applyAlignment="1">
      <alignment horizontal="center" vertical="center"/>
    </xf>
    <xf numFmtId="0" fontId="23" fillId="0" borderId="7" xfId="0" applyFont="1" applyBorder="1" applyAlignment="1">
      <alignment horizontal="left" vertical="center"/>
    </xf>
    <xf numFmtId="0" fontId="23" fillId="0" borderId="9" xfId="0" applyFont="1" applyBorder="1" applyAlignment="1">
      <alignment horizontal="left" vertical="center"/>
    </xf>
    <xf numFmtId="0" fontId="23" fillId="0" borderId="10" xfId="0" applyFont="1" applyBorder="1" applyAlignment="1">
      <alignment horizontal="left" vertical="center"/>
    </xf>
    <xf numFmtId="0" fontId="23" fillId="0" borderId="8" xfId="0" applyFont="1" applyBorder="1" applyAlignment="1">
      <alignment horizontal="left" vertical="center"/>
    </xf>
    <xf numFmtId="0" fontId="23" fillId="0" borderId="11" xfId="0" applyFont="1" applyBorder="1" applyAlignment="1">
      <alignment horizontal="left" vertical="center"/>
    </xf>
    <xf numFmtId="0" fontId="23" fillId="0" borderId="12" xfId="0" applyFont="1" applyBorder="1" applyAlignment="1">
      <alignment horizontal="left"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35" fillId="0" borderId="6" xfId="0" applyFont="1" applyBorder="1" applyAlignment="1">
      <alignment horizontal="center" wrapText="1"/>
    </xf>
    <xf numFmtId="0" fontId="1" fillId="0" borderId="13" xfId="0" applyFont="1" applyBorder="1" applyAlignment="1">
      <alignment horizontal="center"/>
    </xf>
    <xf numFmtId="0" fontId="1" fillId="7" borderId="1" xfId="0" applyFont="1" applyFill="1" applyBorder="1" applyAlignment="1">
      <alignment horizontal="center"/>
    </xf>
    <xf numFmtId="0" fontId="1" fillId="7" borderId="14" xfId="0" applyFont="1" applyFill="1" applyBorder="1" applyAlignment="1">
      <alignment horizontal="center"/>
    </xf>
    <xf numFmtId="0" fontId="23" fillId="0" borderId="17"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41" fontId="1" fillId="6" borderId="21" xfId="0" applyNumberFormat="1" applyFont="1" applyFill="1" applyBorder="1" applyAlignment="1">
      <alignment horizontal="center" vertical="center" wrapText="1"/>
    </xf>
    <xf numFmtId="41" fontId="1" fillId="6" borderId="17" xfId="0" applyNumberFormat="1" applyFont="1" applyFill="1" applyBorder="1" applyAlignment="1">
      <alignment horizontal="center" vertical="center" wrapText="1"/>
    </xf>
    <xf numFmtId="41" fontId="1" fillId="6" borderId="3" xfId="0" applyNumberFormat="1" applyFont="1" applyFill="1" applyBorder="1" applyAlignment="1">
      <alignment horizontal="center" vertical="center" wrapText="1"/>
    </xf>
    <xf numFmtId="41" fontId="7" fillId="0" borderId="21" xfId="0" applyNumberFormat="1" applyFont="1" applyBorder="1" applyAlignment="1">
      <alignment horizontal="center" vertical="center" wrapText="1"/>
    </xf>
    <xf numFmtId="41" fontId="7" fillId="0" borderId="17" xfId="0" applyNumberFormat="1" applyFont="1" applyBorder="1" applyAlignment="1">
      <alignment horizontal="center" vertical="center" wrapText="1"/>
    </xf>
    <xf numFmtId="41" fontId="7" fillId="0" borderId="3" xfId="0" applyNumberFormat="1" applyFont="1" applyBorder="1" applyAlignment="1">
      <alignment horizontal="center" vertical="center" wrapText="1"/>
    </xf>
  </cellXfs>
  <cellStyles count="3">
    <cellStyle name="Collegamento ipertestuale" xfId="1" builtinId="8"/>
    <cellStyle name="Normale" xfId="0" builtinId="0"/>
    <cellStyle name="Percentuale" xfId="2" builtinId="5"/>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dxf>
    <dxf>
      <font>
        <color rgb="FF9C0006"/>
      </font>
      <fill>
        <patternFill>
          <bgColor rgb="FFFFC7CE"/>
        </patternFill>
      </fill>
    </dxf>
    <dxf>
      <fill>
        <patternFill>
          <bgColor rgb="FFFFFF00"/>
        </patternFill>
      </fill>
    </dxf>
    <dxf>
      <fill>
        <patternFill patternType="none">
          <bgColor auto="1"/>
        </patternFill>
      </fill>
    </dxf>
    <dxf>
      <fill>
        <patternFill>
          <bgColor theme="0"/>
        </patternFill>
      </fill>
    </dxf>
    <dxf>
      <font>
        <b/>
        <i val="0"/>
        <color rgb="FFFF0000"/>
      </font>
    </dxf>
    <dxf>
      <fill>
        <patternFill>
          <bgColor theme="0"/>
        </patternFill>
      </fill>
    </dxf>
    <dxf>
      <fill>
        <patternFill>
          <bgColor theme="0"/>
        </patternFill>
      </fill>
    </dxf>
    <dxf>
      <fill>
        <patternFill>
          <bgColor theme="0"/>
        </patternFill>
      </fill>
    </dxf>
    <dxf>
      <fill>
        <patternFill>
          <bgColor theme="7" tint="0.79998168889431442"/>
        </patternFill>
      </fill>
    </dxf>
    <dxf>
      <font>
        <color theme="0"/>
      </font>
      <fill>
        <patternFill>
          <bgColor theme="0"/>
        </patternFill>
      </fill>
    </dxf>
    <dxf>
      <fill>
        <patternFill>
          <bgColor rgb="FFFFFF00"/>
        </patternFill>
      </fill>
    </dxf>
    <dxf>
      <fill>
        <patternFill patternType="none">
          <bgColor auto="1"/>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226527</xdr:colOff>
      <xdr:row>1</xdr:row>
      <xdr:rowOff>37904</xdr:rowOff>
    </xdr:from>
    <xdr:to>
      <xdr:col>1</xdr:col>
      <xdr:colOff>674202</xdr:colOff>
      <xdr:row>2</xdr:row>
      <xdr:rowOff>220537</xdr:rowOff>
    </xdr:to>
    <xdr:pic>
      <xdr:nvPicPr>
        <xdr:cNvPr id="1041" name="Immagine 3">
          <a:extLst>
            <a:ext uri="{FF2B5EF4-FFF2-40B4-BE49-F238E27FC236}">
              <a16:creationId xmlns:a16="http://schemas.microsoft.com/office/drawing/2014/main" id="{E2F42A5D-E10E-94C6-D1CC-2990B2ABAC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8670" y="232291"/>
          <a:ext cx="447675" cy="4236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lcgil.it/rsu/" TargetMode="External"/><Relationship Id="rId1" Type="http://schemas.openxmlformats.org/officeDocument/2006/relationships/hyperlink" Target="http://www.flcgil.it/rs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94"/>
  <sheetViews>
    <sheetView tabSelected="1" view="pageBreakPreview" topLeftCell="A18" zoomScale="70" zoomScaleNormal="70" zoomScaleSheetLayoutView="70" workbookViewId="0">
      <selection activeCell="C36" sqref="C36:H36"/>
    </sheetView>
  </sheetViews>
  <sheetFormatPr defaultColWidth="8.85546875" defaultRowHeight="15.95" customHeight="1" x14ac:dyDescent="0.2"/>
  <cols>
    <col min="1" max="1" width="3.85546875" customWidth="1"/>
    <col min="2" max="2" width="14.28515625" customWidth="1"/>
    <col min="3" max="12" width="10.42578125" customWidth="1"/>
    <col min="13" max="15" width="15.140625" customWidth="1"/>
    <col min="16" max="16" width="3.85546875" customWidth="1"/>
    <col min="18" max="27" width="9.42578125" bestFit="1" customWidth="1"/>
    <col min="28" max="28" width="10.85546875" bestFit="1" customWidth="1"/>
    <col min="29" max="29" width="6.7109375" bestFit="1" customWidth="1"/>
    <col min="30" max="30" width="16.42578125" bestFit="1" customWidth="1"/>
  </cols>
  <sheetData>
    <row r="1" spans="1:16" ht="15" customHeight="1" x14ac:dyDescent="0.2">
      <c r="A1" s="77"/>
      <c r="B1" s="77"/>
      <c r="C1" s="77"/>
      <c r="D1" s="77"/>
      <c r="E1" s="77"/>
      <c r="F1" s="77"/>
      <c r="G1" s="77"/>
      <c r="H1" s="77"/>
      <c r="I1" s="77"/>
      <c r="J1" s="77"/>
      <c r="K1" s="77"/>
      <c r="L1" s="77"/>
      <c r="M1" s="77"/>
      <c r="N1" s="77"/>
      <c r="O1" s="77"/>
      <c r="P1" s="77"/>
    </row>
    <row r="2" spans="1:16" ht="18.95" customHeight="1" x14ac:dyDescent="0.2">
      <c r="A2" s="77"/>
      <c r="B2" s="77"/>
      <c r="C2" s="134" t="s">
        <v>55</v>
      </c>
      <c r="D2" s="134"/>
      <c r="E2" s="134"/>
      <c r="F2" s="134"/>
      <c r="G2" s="134"/>
      <c r="H2" s="134"/>
      <c r="I2" s="134"/>
      <c r="J2" s="134"/>
      <c r="K2" s="134"/>
      <c r="L2" s="134"/>
      <c r="M2" s="134"/>
      <c r="N2" s="86" t="s">
        <v>50</v>
      </c>
      <c r="O2" s="86"/>
      <c r="P2" s="82"/>
    </row>
    <row r="3" spans="1:16" ht="18.95" customHeight="1" x14ac:dyDescent="0.2">
      <c r="A3" s="77"/>
      <c r="B3" s="77"/>
      <c r="C3" s="134"/>
      <c r="D3" s="134"/>
      <c r="E3" s="134"/>
      <c r="F3" s="134"/>
      <c r="G3" s="134"/>
      <c r="H3" s="134"/>
      <c r="I3" s="134"/>
      <c r="J3" s="134"/>
      <c r="K3" s="134"/>
      <c r="L3" s="134"/>
      <c r="M3" s="134"/>
      <c r="N3" s="148" t="s">
        <v>27</v>
      </c>
      <c r="O3" s="148"/>
      <c r="P3" s="82"/>
    </row>
    <row r="4" spans="1:16" ht="18" customHeight="1" thickBot="1" x14ac:dyDescent="0.25">
      <c r="A4" s="77"/>
      <c r="B4" s="77"/>
      <c r="C4" s="77"/>
      <c r="D4" s="77"/>
      <c r="E4" s="77"/>
      <c r="F4" s="77"/>
      <c r="G4" s="77"/>
      <c r="H4" s="77"/>
      <c r="I4" s="77"/>
      <c r="J4" s="77"/>
      <c r="K4" s="77"/>
      <c r="L4" s="77"/>
      <c r="M4" s="77"/>
      <c r="N4" s="77"/>
      <c r="O4" s="77"/>
      <c r="P4" s="82"/>
    </row>
    <row r="5" spans="1:16" ht="18" customHeight="1" thickBot="1" x14ac:dyDescent="0.25">
      <c r="A5" s="77"/>
      <c r="B5" s="11" t="s">
        <v>0</v>
      </c>
      <c r="C5" s="12"/>
      <c r="D5" s="13"/>
      <c r="E5" s="167" t="s">
        <v>2</v>
      </c>
      <c r="F5" s="168"/>
      <c r="G5" s="165" t="s">
        <v>51</v>
      </c>
      <c r="H5" s="166"/>
      <c r="I5" s="172" t="s">
        <v>25</v>
      </c>
      <c r="J5" s="173"/>
      <c r="K5" s="174" t="s">
        <v>32</v>
      </c>
      <c r="L5" s="175"/>
      <c r="M5" s="175"/>
      <c r="N5" s="175"/>
      <c r="O5" s="175"/>
      <c r="P5" s="82"/>
    </row>
    <row r="6" spans="1:16" ht="18" customHeight="1" thickBot="1" x14ac:dyDescent="0.25">
      <c r="A6" s="77"/>
      <c r="B6" s="121"/>
      <c r="C6" s="121"/>
      <c r="D6" s="121"/>
      <c r="E6" s="121"/>
      <c r="F6" s="121"/>
      <c r="G6" s="121"/>
      <c r="H6" s="121"/>
      <c r="I6" s="121"/>
      <c r="J6" s="121"/>
      <c r="K6" s="121"/>
      <c r="L6" s="121"/>
      <c r="M6" s="121"/>
      <c r="N6" s="121"/>
      <c r="O6" s="121"/>
      <c r="P6" s="82"/>
    </row>
    <row r="7" spans="1:16" ht="18" customHeight="1" thickBot="1" x14ac:dyDescent="0.25">
      <c r="A7" s="77"/>
      <c r="B7" s="167" t="s">
        <v>41</v>
      </c>
      <c r="C7" s="171"/>
      <c r="D7" s="168"/>
      <c r="E7" s="145" t="s">
        <v>69</v>
      </c>
      <c r="F7" s="146"/>
      <c r="G7" s="146"/>
      <c r="H7" s="146"/>
      <c r="I7" s="146"/>
      <c r="J7" s="147"/>
      <c r="K7" s="16" t="s">
        <v>1</v>
      </c>
      <c r="L7" s="145" t="s">
        <v>70</v>
      </c>
      <c r="M7" s="146"/>
      <c r="N7" s="146"/>
      <c r="O7" s="147"/>
      <c r="P7" s="82"/>
    </row>
    <row r="8" spans="1:16" ht="18" customHeight="1" thickBot="1" x14ac:dyDescent="0.25">
      <c r="A8" s="77"/>
      <c r="B8" s="108"/>
      <c r="C8" s="108"/>
      <c r="D8" s="108"/>
      <c r="E8" s="108"/>
      <c r="F8" s="108"/>
      <c r="G8" s="108"/>
      <c r="H8" s="108"/>
      <c r="I8" s="108"/>
      <c r="J8" s="108"/>
      <c r="K8" s="108"/>
      <c r="L8" s="108"/>
      <c r="M8" s="108"/>
      <c r="N8" s="108"/>
      <c r="O8" s="108"/>
      <c r="P8" s="82"/>
    </row>
    <row r="9" spans="1:16" ht="18" customHeight="1" thickBot="1" x14ac:dyDescent="0.25">
      <c r="A9" s="77"/>
      <c r="B9" s="16" t="s">
        <v>3</v>
      </c>
      <c r="C9" s="145" t="s">
        <v>71</v>
      </c>
      <c r="D9" s="146"/>
      <c r="E9" s="146"/>
      <c r="F9" s="146"/>
      <c r="G9" s="146"/>
      <c r="H9" s="146"/>
      <c r="I9" s="146"/>
      <c r="J9" s="146"/>
      <c r="K9" s="146"/>
      <c r="L9" s="146"/>
      <c r="M9" s="146"/>
      <c r="N9" s="146"/>
      <c r="O9" s="147"/>
      <c r="P9" s="82"/>
    </row>
    <row r="10" spans="1:16" ht="18" customHeight="1" thickBot="1" x14ac:dyDescent="0.25">
      <c r="A10" s="77"/>
      <c r="B10" s="108"/>
      <c r="C10" s="108"/>
      <c r="D10" s="108"/>
      <c r="E10" s="108"/>
      <c r="F10" s="108"/>
      <c r="G10" s="108"/>
      <c r="H10" s="108"/>
      <c r="I10" s="108"/>
      <c r="J10" s="108"/>
      <c r="K10" s="108"/>
      <c r="L10" s="108"/>
      <c r="M10" s="108"/>
      <c r="N10" s="108"/>
      <c r="O10" s="108"/>
      <c r="P10" s="82"/>
    </row>
    <row r="11" spans="1:16" ht="18" customHeight="1" thickBot="1" x14ac:dyDescent="0.25">
      <c r="A11" s="77"/>
      <c r="B11" s="16" t="s">
        <v>4</v>
      </c>
      <c r="C11" s="145" t="s">
        <v>72</v>
      </c>
      <c r="D11" s="146"/>
      <c r="E11" s="146"/>
      <c r="F11" s="146"/>
      <c r="G11" s="147"/>
      <c r="H11" s="16" t="s">
        <v>5</v>
      </c>
      <c r="I11" s="145" t="s">
        <v>73</v>
      </c>
      <c r="J11" s="147"/>
      <c r="K11" s="16" t="s">
        <v>6</v>
      </c>
      <c r="L11" s="145"/>
      <c r="M11" s="146"/>
      <c r="N11" s="146"/>
      <c r="O11" s="147"/>
      <c r="P11" s="82"/>
    </row>
    <row r="12" spans="1:16" ht="18" customHeight="1" thickBot="1" x14ac:dyDescent="0.25">
      <c r="A12" s="77"/>
      <c r="B12" s="108"/>
      <c r="C12" s="108"/>
      <c r="D12" s="108"/>
      <c r="E12" s="108"/>
      <c r="F12" s="108"/>
      <c r="G12" s="108"/>
      <c r="H12" s="108"/>
      <c r="I12" s="108"/>
      <c r="J12" s="108"/>
      <c r="K12" s="108"/>
      <c r="L12" s="108"/>
      <c r="M12" s="108"/>
      <c r="N12" s="108"/>
      <c r="O12" s="108"/>
      <c r="P12" s="82"/>
    </row>
    <row r="13" spans="1:16" ht="18" customHeight="1" thickBot="1" x14ac:dyDescent="0.25">
      <c r="A13" s="77"/>
      <c r="B13" s="137" t="s">
        <v>7</v>
      </c>
      <c r="C13" s="167" t="s">
        <v>42</v>
      </c>
      <c r="D13" s="168"/>
      <c r="E13" s="167" t="s">
        <v>43</v>
      </c>
      <c r="F13" s="168"/>
      <c r="G13" s="167" t="s">
        <v>44</v>
      </c>
      <c r="H13" s="168"/>
      <c r="I13" s="167" t="s">
        <v>45</v>
      </c>
      <c r="J13" s="168"/>
      <c r="K13" s="169" t="s">
        <v>12</v>
      </c>
      <c r="L13" s="170"/>
      <c r="M13" s="135" t="s">
        <v>13</v>
      </c>
      <c r="N13" s="161" t="s">
        <v>49</v>
      </c>
      <c r="O13" s="162"/>
      <c r="P13" s="82"/>
    </row>
    <row r="14" spans="1:16" ht="18" customHeight="1" thickBot="1" x14ac:dyDescent="0.25">
      <c r="A14" s="77"/>
      <c r="B14" s="139"/>
      <c r="C14" s="51" t="s">
        <v>8</v>
      </c>
      <c r="D14" s="52" t="s">
        <v>9</v>
      </c>
      <c r="E14" s="51" t="s">
        <v>8</v>
      </c>
      <c r="F14" s="52" t="s">
        <v>9</v>
      </c>
      <c r="G14" s="51" t="s">
        <v>8</v>
      </c>
      <c r="H14" s="52" t="s">
        <v>9</v>
      </c>
      <c r="I14" s="51" t="s">
        <v>8</v>
      </c>
      <c r="J14" s="52" t="s">
        <v>9</v>
      </c>
      <c r="K14" s="51" t="s">
        <v>8</v>
      </c>
      <c r="L14" s="52" t="s">
        <v>9</v>
      </c>
      <c r="M14" s="136"/>
      <c r="N14" s="163"/>
      <c r="O14" s="164"/>
      <c r="P14" s="82"/>
    </row>
    <row r="15" spans="1:16" ht="18" customHeight="1" x14ac:dyDescent="0.2">
      <c r="A15" s="77"/>
      <c r="B15" s="140" t="s">
        <v>10</v>
      </c>
      <c r="C15" s="98">
        <v>19</v>
      </c>
      <c r="D15" s="95">
        <v>150</v>
      </c>
      <c r="E15" s="98"/>
      <c r="F15" s="95"/>
      <c r="G15" s="98"/>
      <c r="H15" s="95"/>
      <c r="I15" s="98"/>
      <c r="J15" s="95"/>
      <c r="K15" s="128">
        <f>C15+E15+G15+I15</f>
        <v>19</v>
      </c>
      <c r="L15" s="152">
        <f>D15+F15+H15+J15</f>
        <v>150</v>
      </c>
      <c r="M15" s="92">
        <f>K15+L15</f>
        <v>169</v>
      </c>
      <c r="N15" s="155">
        <f>IF(M15&gt;0,INT(M15/2)+1,"")</f>
        <v>85</v>
      </c>
      <c r="O15" s="156"/>
      <c r="P15" s="82"/>
    </row>
    <row r="16" spans="1:16" ht="18" customHeight="1" x14ac:dyDescent="0.2">
      <c r="A16" s="77"/>
      <c r="B16" s="141"/>
      <c r="C16" s="99"/>
      <c r="D16" s="96"/>
      <c r="E16" s="99"/>
      <c r="F16" s="96"/>
      <c r="G16" s="99"/>
      <c r="H16" s="96"/>
      <c r="I16" s="99"/>
      <c r="J16" s="96"/>
      <c r="K16" s="129"/>
      <c r="L16" s="153"/>
      <c r="M16" s="93"/>
      <c r="N16" s="157"/>
      <c r="O16" s="158"/>
      <c r="P16" s="82"/>
    </row>
    <row r="17" spans="1:16" ht="18" customHeight="1" thickBot="1" x14ac:dyDescent="0.25">
      <c r="A17" s="77"/>
      <c r="B17" s="142"/>
      <c r="C17" s="100"/>
      <c r="D17" s="97"/>
      <c r="E17" s="100"/>
      <c r="F17" s="97"/>
      <c r="G17" s="100"/>
      <c r="H17" s="97"/>
      <c r="I17" s="100"/>
      <c r="J17" s="97"/>
      <c r="K17" s="130"/>
      <c r="L17" s="154"/>
      <c r="M17" s="94"/>
      <c r="N17" s="159"/>
      <c r="O17" s="160"/>
      <c r="P17" s="82"/>
    </row>
    <row r="18" spans="1:16" ht="18" customHeight="1" x14ac:dyDescent="0.2">
      <c r="A18" s="77"/>
      <c r="B18" s="140" t="s">
        <v>11</v>
      </c>
      <c r="C18" s="98">
        <v>11</v>
      </c>
      <c r="D18" s="95">
        <v>99</v>
      </c>
      <c r="E18" s="98"/>
      <c r="F18" s="95"/>
      <c r="G18" s="98"/>
      <c r="H18" s="95"/>
      <c r="I18" s="98"/>
      <c r="J18" s="95"/>
      <c r="K18" s="128">
        <f>C18+E18+G18+I18</f>
        <v>11</v>
      </c>
      <c r="L18" s="152">
        <f>D18+F18+H18+J18</f>
        <v>99</v>
      </c>
      <c r="M18" s="92">
        <f>K18+L18</f>
        <v>110</v>
      </c>
      <c r="N18" s="125" t="s">
        <v>48</v>
      </c>
      <c r="O18" s="122">
        <f>IFERROR(M18/M15,"")</f>
        <v>0.65088757396449703</v>
      </c>
      <c r="P18" s="82"/>
    </row>
    <row r="19" spans="1:16" ht="18" customHeight="1" x14ac:dyDescent="0.2">
      <c r="A19" s="77"/>
      <c r="B19" s="141"/>
      <c r="C19" s="99"/>
      <c r="D19" s="96"/>
      <c r="E19" s="99"/>
      <c r="F19" s="96"/>
      <c r="G19" s="99"/>
      <c r="H19" s="96"/>
      <c r="I19" s="99"/>
      <c r="J19" s="96"/>
      <c r="K19" s="129"/>
      <c r="L19" s="153"/>
      <c r="M19" s="93"/>
      <c r="N19" s="126"/>
      <c r="O19" s="123"/>
      <c r="P19" s="82"/>
    </row>
    <row r="20" spans="1:16" ht="18" customHeight="1" thickBot="1" x14ac:dyDescent="0.25">
      <c r="A20" s="77"/>
      <c r="B20" s="142"/>
      <c r="C20" s="100"/>
      <c r="D20" s="97"/>
      <c r="E20" s="100"/>
      <c r="F20" s="97"/>
      <c r="G20" s="100"/>
      <c r="H20" s="97"/>
      <c r="I20" s="100"/>
      <c r="J20" s="97"/>
      <c r="K20" s="130"/>
      <c r="L20" s="154"/>
      <c r="M20" s="94"/>
      <c r="N20" s="127"/>
      <c r="O20" s="124"/>
      <c r="P20" s="82"/>
    </row>
    <row r="21" spans="1:16" ht="18" customHeight="1" x14ac:dyDescent="0.2">
      <c r="A21" s="77"/>
      <c r="B21" s="143" t="s">
        <v>26</v>
      </c>
      <c r="C21" s="90" t="str">
        <f>IF(C18&gt;C15,"??","OK")</f>
        <v>OK</v>
      </c>
      <c r="D21" s="88" t="str">
        <f t="shared" ref="D21:L21" si="0">IF(D18&gt;D15,"??","OK")</f>
        <v>OK</v>
      </c>
      <c r="E21" s="90" t="str">
        <f t="shared" si="0"/>
        <v>OK</v>
      </c>
      <c r="F21" s="88" t="str">
        <f t="shared" si="0"/>
        <v>OK</v>
      </c>
      <c r="G21" s="90" t="str">
        <f t="shared" si="0"/>
        <v>OK</v>
      </c>
      <c r="H21" s="88" t="str">
        <f t="shared" si="0"/>
        <v>OK</v>
      </c>
      <c r="I21" s="90" t="str">
        <f t="shared" si="0"/>
        <v>OK</v>
      </c>
      <c r="J21" s="88" t="str">
        <f t="shared" si="0"/>
        <v>OK</v>
      </c>
      <c r="K21" s="90" t="str">
        <f t="shared" si="0"/>
        <v>OK</v>
      </c>
      <c r="L21" s="88" t="str">
        <f t="shared" si="0"/>
        <v>OK</v>
      </c>
      <c r="M21" s="131" t="str">
        <f>IF(M18&gt;M15,"??","OK")</f>
        <v>OK</v>
      </c>
      <c r="N21" s="112" t="str">
        <f>IF(M18&gt;=N15,"OK - ELEZIONI VALIDE","?? - NO QUOZIENTE MINIMO DI VALIDITA' ELEZIONE")</f>
        <v>OK - ELEZIONI VALIDE</v>
      </c>
      <c r="O21" s="114"/>
      <c r="P21" s="82"/>
    </row>
    <row r="22" spans="1:16" ht="18" customHeight="1" thickBot="1" x14ac:dyDescent="0.25">
      <c r="A22" s="77"/>
      <c r="B22" s="144"/>
      <c r="C22" s="91"/>
      <c r="D22" s="89"/>
      <c r="E22" s="91"/>
      <c r="F22" s="89"/>
      <c r="G22" s="91"/>
      <c r="H22" s="89"/>
      <c r="I22" s="91"/>
      <c r="J22" s="89"/>
      <c r="K22" s="91"/>
      <c r="L22" s="89"/>
      <c r="M22" s="132"/>
      <c r="N22" s="118"/>
      <c r="O22" s="120"/>
      <c r="P22" s="82"/>
    </row>
    <row r="23" spans="1:16" ht="18" customHeight="1" thickBot="1" x14ac:dyDescent="0.25">
      <c r="A23" s="77"/>
      <c r="B23" s="108"/>
      <c r="C23" s="108"/>
      <c r="D23" s="108"/>
      <c r="E23" s="108"/>
      <c r="F23" s="108"/>
      <c r="G23" s="108"/>
      <c r="H23" s="108"/>
      <c r="I23" s="108"/>
      <c r="J23" s="108"/>
      <c r="K23" s="108"/>
      <c r="L23" s="108"/>
      <c r="M23" s="108"/>
      <c r="N23" s="108"/>
      <c r="O23" s="108"/>
      <c r="P23" s="82"/>
    </row>
    <row r="24" spans="1:16" ht="18" customHeight="1" thickBot="1" x14ac:dyDescent="0.25">
      <c r="A24" s="77"/>
      <c r="B24" s="210" t="str">
        <f>IF(N21="OK - ELEZIONI VALIDE","Sulla base dei dati inseriti il quoziente minimo di votanti per la validità delle elezioni (QUORUM) è stato regolarmente raggiunto. Si può procedere allo spoglio.","Sulla base dei dati inseriti il quoziente minimo di votanti per la validità delle elezioni (QUORUM) NON E' STATO RAGGIUNTO. NON si può procedere allo spoglio.")</f>
        <v>Sulla base dei dati inseriti il quoziente minimo di votanti per la validità delle elezioni (QUORUM) è stato regolarmente raggiunto. Si può procedere allo spoglio.</v>
      </c>
      <c r="C24" s="211"/>
      <c r="D24" s="211"/>
      <c r="E24" s="211"/>
      <c r="F24" s="211"/>
      <c r="G24" s="211"/>
      <c r="H24" s="211"/>
      <c r="I24" s="211"/>
      <c r="J24" s="211"/>
      <c r="K24" s="211"/>
      <c r="L24" s="211"/>
      <c r="M24" s="211"/>
      <c r="N24" s="211"/>
      <c r="O24" s="212"/>
      <c r="P24" s="82"/>
    </row>
    <row r="25" spans="1:16" ht="18" customHeight="1" thickBot="1" x14ac:dyDescent="0.25">
      <c r="A25" s="77"/>
      <c r="B25" s="79"/>
      <c r="C25" s="79"/>
      <c r="D25" s="79"/>
      <c r="E25" s="79"/>
      <c r="F25" s="79"/>
      <c r="G25" s="79"/>
      <c r="H25" s="79"/>
      <c r="I25" s="79"/>
      <c r="J25" s="79"/>
      <c r="K25" s="79"/>
      <c r="L25" s="79"/>
      <c r="M25" s="79"/>
      <c r="N25" s="79"/>
      <c r="O25" s="79"/>
      <c r="P25" s="82"/>
    </row>
    <row r="26" spans="1:16" ht="18" customHeight="1" thickBot="1" x14ac:dyDescent="0.25">
      <c r="A26" s="77"/>
      <c r="B26" s="137" t="s">
        <v>18</v>
      </c>
      <c r="C26" s="2" t="s">
        <v>14</v>
      </c>
      <c r="D26" s="28">
        <v>109</v>
      </c>
      <c r="E26" s="109" t="str">
        <f>IF(N21="OK - ELEZIONI VALIDE",IF(M21="OK",IF(M18=0,"??",IF(D29=M18,"OK","??")),"??"),"??")</f>
        <v>OK</v>
      </c>
      <c r="G26" s="112" t="s">
        <v>52</v>
      </c>
      <c r="H26" s="113"/>
      <c r="I26" s="114"/>
      <c r="J26" s="149">
        <v>3</v>
      </c>
      <c r="K26" s="101"/>
      <c r="L26" s="77"/>
      <c r="M26" s="85" t="s">
        <v>62</v>
      </c>
      <c r="N26" s="85"/>
      <c r="O26" s="85"/>
      <c r="P26" s="82"/>
    </row>
    <row r="27" spans="1:16" ht="18" customHeight="1" thickBot="1" x14ac:dyDescent="0.25">
      <c r="A27" s="77"/>
      <c r="B27" s="138"/>
      <c r="C27" s="2" t="s">
        <v>15</v>
      </c>
      <c r="D27" s="28">
        <v>0</v>
      </c>
      <c r="E27" s="110"/>
      <c r="G27" s="115"/>
      <c r="H27" s="116"/>
      <c r="I27" s="117"/>
      <c r="J27" s="150"/>
      <c r="K27" s="101"/>
      <c r="L27" s="77"/>
      <c r="M27" s="85"/>
      <c r="N27" s="85"/>
      <c r="O27" s="85"/>
      <c r="P27" s="82"/>
    </row>
    <row r="28" spans="1:16" ht="18" customHeight="1" thickBot="1" x14ac:dyDescent="0.25">
      <c r="A28" s="77"/>
      <c r="B28" s="138"/>
      <c r="C28" s="2" t="s">
        <v>16</v>
      </c>
      <c r="D28" s="28">
        <v>1</v>
      </c>
      <c r="E28" s="110"/>
      <c r="G28" s="115"/>
      <c r="H28" s="116"/>
      <c r="I28" s="117"/>
      <c r="J28" s="150"/>
      <c r="K28" s="101"/>
      <c r="L28" s="77"/>
      <c r="M28" s="85"/>
      <c r="N28" s="85"/>
      <c r="O28" s="85"/>
      <c r="P28" s="82"/>
    </row>
    <row r="29" spans="1:16" ht="18" customHeight="1" thickBot="1" x14ac:dyDescent="0.25">
      <c r="A29" s="77"/>
      <c r="B29" s="139"/>
      <c r="C29" s="2" t="s">
        <v>17</v>
      </c>
      <c r="D29" s="9">
        <f>SUM(D26:D28)</f>
        <v>110</v>
      </c>
      <c r="E29" s="111"/>
      <c r="G29" s="118"/>
      <c r="H29" s="119"/>
      <c r="I29" s="120"/>
      <c r="J29" s="151"/>
      <c r="K29" s="101"/>
      <c r="L29" s="77"/>
      <c r="M29" s="85"/>
      <c r="N29" s="85"/>
      <c r="O29" s="85"/>
      <c r="P29" s="82"/>
    </row>
    <row r="30" spans="1:16" ht="18" customHeight="1" thickBot="1" x14ac:dyDescent="0.25">
      <c r="A30" s="77"/>
      <c r="B30" s="121"/>
      <c r="C30" s="121"/>
      <c r="D30" s="121"/>
      <c r="E30" s="121"/>
      <c r="F30" s="121"/>
      <c r="G30" s="121"/>
      <c r="H30" s="121"/>
      <c r="I30" s="121"/>
      <c r="J30" s="121"/>
      <c r="M30" s="85"/>
      <c r="N30" s="85"/>
      <c r="O30" s="85"/>
      <c r="P30" s="82"/>
    </row>
    <row r="31" spans="1:16" ht="18" customHeight="1" thickBot="1" x14ac:dyDescent="0.25">
      <c r="A31" s="77"/>
      <c r="B31" s="3" t="s">
        <v>19</v>
      </c>
      <c r="C31" s="198" t="s">
        <v>31</v>
      </c>
      <c r="D31" s="214"/>
      <c r="E31" s="214"/>
      <c r="F31" s="214"/>
      <c r="G31" s="214"/>
      <c r="H31" s="199"/>
      <c r="I31" s="1" t="s">
        <v>20</v>
      </c>
      <c r="J31" s="3" t="s">
        <v>46</v>
      </c>
      <c r="K31" s="83" t="str">
        <f>O67</f>
        <v>OPERAZIONI CONCLUSE
SEGGI ASSEGNATI ALLE LISTE</v>
      </c>
      <c r="L31" s="84"/>
      <c r="M31" s="85"/>
      <c r="N31" s="85"/>
      <c r="O31" s="85"/>
      <c r="P31" s="82"/>
    </row>
    <row r="32" spans="1:16" ht="18" customHeight="1" thickBot="1" x14ac:dyDescent="0.25">
      <c r="A32" s="77"/>
      <c r="B32" s="3">
        <v>1</v>
      </c>
      <c r="C32" s="177" t="s">
        <v>74</v>
      </c>
      <c r="D32" s="178"/>
      <c r="E32" s="178"/>
      <c r="F32" s="178"/>
      <c r="G32" s="178"/>
      <c r="H32" s="179"/>
      <c r="I32" s="27">
        <v>32</v>
      </c>
      <c r="J32" s="15">
        <f>IF($J$43="OK",IF(C75=0,"-",C75),"")</f>
        <v>1</v>
      </c>
      <c r="K32" s="83"/>
      <c r="L32" s="84"/>
      <c r="M32" s="85"/>
      <c r="N32" s="85"/>
      <c r="O32" s="85"/>
      <c r="P32" s="82"/>
    </row>
    <row r="33" spans="1:28" ht="18" customHeight="1" thickBot="1" x14ac:dyDescent="0.25">
      <c r="A33" s="77"/>
      <c r="B33" s="3">
        <v>2</v>
      </c>
      <c r="C33" s="177" t="s">
        <v>77</v>
      </c>
      <c r="D33" s="178"/>
      <c r="E33" s="178"/>
      <c r="F33" s="178"/>
      <c r="G33" s="178"/>
      <c r="H33" s="179"/>
      <c r="I33" s="27">
        <v>43</v>
      </c>
      <c r="J33" s="15">
        <f>IF($J$43="OK",IF(D75=0,"-",D75),"")</f>
        <v>1</v>
      </c>
      <c r="K33" s="83"/>
      <c r="L33" s="84"/>
      <c r="M33" s="85"/>
      <c r="N33" s="85"/>
      <c r="O33" s="85"/>
      <c r="P33" s="82"/>
    </row>
    <row r="34" spans="1:28" ht="18" customHeight="1" thickBot="1" x14ac:dyDescent="0.25">
      <c r="A34" s="77"/>
      <c r="B34" s="3">
        <v>3</v>
      </c>
      <c r="C34" s="177" t="s">
        <v>75</v>
      </c>
      <c r="D34" s="178"/>
      <c r="E34" s="178"/>
      <c r="F34" s="178"/>
      <c r="G34" s="178"/>
      <c r="H34" s="179"/>
      <c r="I34" s="27">
        <v>1</v>
      </c>
      <c r="J34" s="15" t="str">
        <f>IF($J$43="OK",IF(E75=0,"-",E75),"")</f>
        <v>-</v>
      </c>
      <c r="K34" s="83"/>
      <c r="L34" s="84"/>
      <c r="M34" s="85"/>
      <c r="N34" s="85"/>
      <c r="O34" s="85"/>
      <c r="P34" s="82"/>
    </row>
    <row r="35" spans="1:28" ht="18" customHeight="1" thickBot="1" x14ac:dyDescent="0.25">
      <c r="A35" s="77"/>
      <c r="B35" s="3">
        <v>4</v>
      </c>
      <c r="C35" s="177" t="s">
        <v>76</v>
      </c>
      <c r="D35" s="178"/>
      <c r="E35" s="178"/>
      <c r="F35" s="178"/>
      <c r="G35" s="178"/>
      <c r="H35" s="179"/>
      <c r="I35" s="27">
        <v>26</v>
      </c>
      <c r="J35" s="15">
        <f>IF($J$43="OK",IF(F75=0,"-",F75),"")</f>
        <v>1</v>
      </c>
      <c r="K35" s="83"/>
      <c r="L35" s="84"/>
      <c r="M35" s="85"/>
      <c r="N35" s="85"/>
      <c r="O35" s="85"/>
      <c r="P35" s="82"/>
    </row>
    <row r="36" spans="1:28" ht="18" customHeight="1" thickBot="1" x14ac:dyDescent="0.25">
      <c r="A36" s="77"/>
      <c r="B36" s="3">
        <v>5</v>
      </c>
      <c r="C36" s="177" t="s">
        <v>78</v>
      </c>
      <c r="D36" s="178"/>
      <c r="E36" s="178"/>
      <c r="F36" s="178"/>
      <c r="G36" s="178"/>
      <c r="H36" s="179"/>
      <c r="I36" s="27">
        <v>7</v>
      </c>
      <c r="J36" s="15" t="str">
        <f>IF($J$43="OK",IF(G75=0,"-",G75),"")</f>
        <v>-</v>
      </c>
      <c r="K36" s="83"/>
      <c r="L36" s="84"/>
      <c r="M36" s="85"/>
      <c r="N36" s="85"/>
      <c r="O36" s="85"/>
      <c r="P36" s="82"/>
    </row>
    <row r="37" spans="1:28" ht="18" customHeight="1" thickBot="1" x14ac:dyDescent="0.25">
      <c r="A37" s="77"/>
      <c r="B37" s="3">
        <v>6</v>
      </c>
      <c r="C37" s="177"/>
      <c r="D37" s="178"/>
      <c r="E37" s="178"/>
      <c r="F37" s="178"/>
      <c r="G37" s="178"/>
      <c r="H37" s="179"/>
      <c r="I37" s="27"/>
      <c r="J37" s="15" t="str">
        <f>IF($J$43="OK",IF(H75=0,"-",H75),"")</f>
        <v>-</v>
      </c>
      <c r="K37" s="83"/>
      <c r="L37" s="84"/>
      <c r="M37" s="85"/>
      <c r="N37" s="85"/>
      <c r="O37" s="85"/>
      <c r="P37" s="82"/>
    </row>
    <row r="38" spans="1:28" ht="18" customHeight="1" thickBot="1" x14ac:dyDescent="0.25">
      <c r="A38" s="77"/>
      <c r="B38" s="3">
        <v>7</v>
      </c>
      <c r="C38" s="177"/>
      <c r="D38" s="178"/>
      <c r="E38" s="178"/>
      <c r="F38" s="178"/>
      <c r="G38" s="178"/>
      <c r="H38" s="179"/>
      <c r="I38" s="27"/>
      <c r="J38" s="15" t="str">
        <f>IF($J$43="OK",IF(I75=0,"-",I75),"")</f>
        <v>-</v>
      </c>
      <c r="K38" s="83"/>
      <c r="L38" s="84"/>
      <c r="M38" s="85"/>
      <c r="N38" s="85"/>
      <c r="O38" s="85"/>
      <c r="P38" s="82"/>
    </row>
    <row r="39" spans="1:28" ht="18" customHeight="1" thickBot="1" x14ac:dyDescent="0.25">
      <c r="A39" s="77"/>
      <c r="B39" s="3">
        <v>8</v>
      </c>
      <c r="C39" s="177"/>
      <c r="D39" s="178"/>
      <c r="E39" s="178"/>
      <c r="F39" s="178"/>
      <c r="G39" s="178"/>
      <c r="H39" s="179"/>
      <c r="I39" s="27"/>
      <c r="J39" s="15" t="str">
        <f>IF($J$43="OK",IF(J75=0,"-",J75),"")</f>
        <v>-</v>
      </c>
      <c r="K39" s="83"/>
      <c r="L39" s="84"/>
      <c r="M39" s="85"/>
      <c r="N39" s="85"/>
      <c r="O39" s="85"/>
      <c r="P39" s="82"/>
    </row>
    <row r="40" spans="1:28" ht="18" customHeight="1" thickBot="1" x14ac:dyDescent="0.25">
      <c r="A40" s="77"/>
      <c r="B40" s="3">
        <v>9</v>
      </c>
      <c r="C40" s="177"/>
      <c r="D40" s="178"/>
      <c r="E40" s="178"/>
      <c r="F40" s="178"/>
      <c r="G40" s="178"/>
      <c r="H40" s="179"/>
      <c r="I40" s="27"/>
      <c r="J40" s="15" t="str">
        <f>IF($J$43="OK",IF(K75=0,"-",K75),"")</f>
        <v>-</v>
      </c>
      <c r="K40" s="83"/>
      <c r="L40" s="84"/>
      <c r="M40" s="85"/>
      <c r="N40" s="85"/>
      <c r="O40" s="85"/>
      <c r="P40" s="82"/>
    </row>
    <row r="41" spans="1:28" ht="18" customHeight="1" thickBot="1" x14ac:dyDescent="0.25">
      <c r="A41" s="77"/>
      <c r="B41" s="3">
        <v>10</v>
      </c>
      <c r="C41" s="177"/>
      <c r="D41" s="178"/>
      <c r="E41" s="178"/>
      <c r="F41" s="178"/>
      <c r="G41" s="178"/>
      <c r="H41" s="179"/>
      <c r="I41" s="27"/>
      <c r="J41" s="15" t="str">
        <f>IF($J$43="OK",IF(L75=0,"-",L75),"")</f>
        <v>-</v>
      </c>
      <c r="K41" s="83"/>
      <c r="L41" s="84"/>
      <c r="M41" s="85"/>
      <c r="N41" s="85"/>
      <c r="O41" s="85"/>
      <c r="P41" s="82"/>
    </row>
    <row r="42" spans="1:28" ht="18" customHeight="1" thickBot="1" x14ac:dyDescent="0.25">
      <c r="A42" s="77"/>
      <c r="B42" s="79"/>
      <c r="C42" s="79"/>
      <c r="D42" s="79"/>
      <c r="E42" s="79"/>
      <c r="F42" s="79"/>
      <c r="G42" s="80"/>
      <c r="H42" s="3" t="s">
        <v>12</v>
      </c>
      <c r="I42" s="29">
        <f>SUM(I32:I41)</f>
        <v>109</v>
      </c>
      <c r="J42" s="10">
        <f>SUM(J32:J41)</f>
        <v>3</v>
      </c>
      <c r="K42" s="83"/>
      <c r="L42" s="84"/>
      <c r="M42" s="85"/>
      <c r="N42" s="85"/>
      <c r="O42" s="85"/>
      <c r="P42" s="82"/>
    </row>
    <row r="43" spans="1:28" ht="18" customHeight="1" thickBot="1" x14ac:dyDescent="0.25">
      <c r="A43" s="77"/>
      <c r="B43" s="77"/>
      <c r="C43" s="77"/>
      <c r="D43" s="77"/>
      <c r="E43" s="77"/>
      <c r="F43" s="77"/>
      <c r="G43" s="77"/>
      <c r="H43" s="78"/>
      <c r="I43" s="8" t="str">
        <f>IF(I42=0,"??",IF(E26="OK",IF(I42=D26,"OK","??"),"??"))</f>
        <v>OK</v>
      </c>
      <c r="J43" s="7" t="str">
        <f>N75</f>
        <v>OK</v>
      </c>
      <c r="K43" s="187" t="s">
        <v>32</v>
      </c>
      <c r="L43" s="187"/>
      <c r="M43" s="187"/>
      <c r="N43" s="187"/>
      <c r="O43" s="187"/>
      <c r="P43" s="82"/>
    </row>
    <row r="44" spans="1:28" ht="18" customHeight="1" x14ac:dyDescent="0.2">
      <c r="A44" s="77"/>
      <c r="B44" s="77"/>
      <c r="C44" s="77"/>
      <c r="D44" s="77"/>
      <c r="E44" s="77"/>
      <c r="F44" s="77"/>
      <c r="G44" s="77"/>
      <c r="H44" s="77"/>
      <c r="I44" s="77"/>
      <c r="J44" s="77"/>
      <c r="K44" s="77"/>
      <c r="L44" s="77"/>
      <c r="M44" s="77"/>
      <c r="N44" s="77"/>
      <c r="O44" s="77"/>
      <c r="P44" s="82"/>
    </row>
    <row r="45" spans="1:28" ht="18" customHeight="1" x14ac:dyDescent="0.2">
      <c r="A45" s="77"/>
      <c r="B45" s="77"/>
      <c r="C45" s="77"/>
      <c r="D45" s="77"/>
      <c r="E45" s="77"/>
      <c r="F45" s="77"/>
      <c r="G45" s="77"/>
      <c r="H45" s="77"/>
      <c r="I45" s="77"/>
      <c r="J45" s="77"/>
      <c r="K45" s="77"/>
      <c r="L45" s="77"/>
      <c r="M45" s="77"/>
      <c r="N45" s="77"/>
      <c r="O45" s="77"/>
      <c r="P45" s="82"/>
    </row>
    <row r="46" spans="1:28" ht="18" customHeight="1" x14ac:dyDescent="0.25">
      <c r="A46" s="77"/>
      <c r="B46" s="81" t="s">
        <v>56</v>
      </c>
      <c r="C46" s="81"/>
      <c r="D46" s="81"/>
      <c r="E46" s="81"/>
      <c r="F46" s="81"/>
      <c r="G46" s="81"/>
      <c r="H46" s="81"/>
      <c r="I46" s="81"/>
      <c r="J46" s="81"/>
      <c r="K46" s="81"/>
      <c r="L46" s="81"/>
      <c r="M46" s="81"/>
      <c r="N46" s="81"/>
      <c r="O46" s="81"/>
      <c r="P46" s="82"/>
      <c r="R46">
        <v>1</v>
      </c>
      <c r="S46">
        <v>2</v>
      </c>
      <c r="T46">
        <v>3</v>
      </c>
      <c r="U46">
        <v>4</v>
      </c>
      <c r="V46">
        <v>5</v>
      </c>
      <c r="W46">
        <v>6</v>
      </c>
      <c r="X46">
        <v>7</v>
      </c>
      <c r="Y46">
        <v>8</v>
      </c>
      <c r="Z46">
        <v>9</v>
      </c>
      <c r="AA46">
        <v>10</v>
      </c>
    </row>
    <row r="47" spans="1:28" ht="18" customHeight="1" thickBot="1" x14ac:dyDescent="0.25">
      <c r="A47" s="77"/>
      <c r="B47" s="77"/>
      <c r="C47" s="77"/>
      <c r="D47" s="77"/>
      <c r="E47" s="77"/>
      <c r="F47" s="77"/>
      <c r="G47" s="77"/>
      <c r="H47" s="77"/>
      <c r="I47" s="77"/>
      <c r="J47" s="77"/>
      <c r="K47" s="77"/>
      <c r="L47" s="77"/>
      <c r="M47" s="77"/>
      <c r="N47" s="77"/>
      <c r="O47" s="77"/>
      <c r="P47" s="82"/>
      <c r="Q47">
        <v>1</v>
      </c>
      <c r="R47" s="19">
        <f>C73+(C65/100000)</f>
        <v>0.88105394495412837</v>
      </c>
      <c r="S47" s="20" t="str">
        <f>IF(R47=R$57,"-",R47)</f>
        <v>-</v>
      </c>
      <c r="T47" s="20" t="str">
        <f>IF(S47=S$57,"-",S47)</f>
        <v>-</v>
      </c>
      <c r="U47" s="20" t="str">
        <f t="shared" ref="U47:AA47" si="1">IF(T47=T$57,"-",T47)</f>
        <v>-</v>
      </c>
      <c r="V47" s="20" t="str">
        <f t="shared" si="1"/>
        <v>-</v>
      </c>
      <c r="W47" s="20" t="str">
        <f t="shared" si="1"/>
        <v>-</v>
      </c>
      <c r="X47" s="20" t="str">
        <f t="shared" si="1"/>
        <v>-</v>
      </c>
      <c r="Y47" s="20" t="str">
        <f t="shared" si="1"/>
        <v>-</v>
      </c>
      <c r="Z47" s="20" t="str">
        <f t="shared" si="1"/>
        <v>-</v>
      </c>
      <c r="AA47" s="20" t="str">
        <f t="shared" si="1"/>
        <v>-</v>
      </c>
      <c r="AB47" s="32">
        <f>IF(VLOOKUP(R47,R$61:S$70,2)&gt;1,1,VLOOKUP(R47,R$61:S$70,2))</f>
        <v>1</v>
      </c>
    </row>
    <row r="48" spans="1:28" ht="18" customHeight="1" thickBot="1" x14ac:dyDescent="0.25">
      <c r="A48" s="77"/>
      <c r="B48" s="198" t="s">
        <v>21</v>
      </c>
      <c r="C48" s="199"/>
      <c r="D48" s="4">
        <f>M15</f>
        <v>169</v>
      </c>
      <c r="E48" s="101"/>
      <c r="F48" s="77"/>
      <c r="G48" s="77"/>
      <c r="H48" s="77"/>
      <c r="I48" s="77"/>
      <c r="J48" s="77"/>
      <c r="K48" s="77"/>
      <c r="L48" s="77"/>
      <c r="M48" s="77"/>
      <c r="N48" s="77"/>
      <c r="O48" s="77"/>
      <c r="P48" s="82"/>
      <c r="Q48">
        <v>2</v>
      </c>
      <c r="R48" s="21">
        <f>D73+(D65/100000)</f>
        <v>0.18391623853211012</v>
      </c>
      <c r="S48" s="22">
        <f t="shared" ref="S48:S56" si="2">IF(R48=R$57,"-",R48)</f>
        <v>0.18391623853211012</v>
      </c>
      <c r="T48" s="22">
        <f t="shared" ref="T48:AA48" si="3">IF(S48=S$57,"-",S48)</f>
        <v>0.18391623853211012</v>
      </c>
      <c r="U48" s="22">
        <f t="shared" si="3"/>
        <v>0.18391623853211012</v>
      </c>
      <c r="V48" s="22" t="str">
        <f t="shared" si="3"/>
        <v>-</v>
      </c>
      <c r="W48" s="22" t="str">
        <f t="shared" si="3"/>
        <v>-</v>
      </c>
      <c r="X48" s="22" t="str">
        <f t="shared" si="3"/>
        <v>-</v>
      </c>
      <c r="Y48" s="22" t="str">
        <f t="shared" si="3"/>
        <v>-</v>
      </c>
      <c r="Z48" s="22" t="str">
        <f t="shared" si="3"/>
        <v>-</v>
      </c>
      <c r="AA48" s="22" t="str">
        <f t="shared" si="3"/>
        <v>-</v>
      </c>
      <c r="AB48" s="32">
        <f t="shared" ref="AB48:AB56" si="4">IF(VLOOKUP(R48,R$61:S$70,2)&gt;1,1,VLOOKUP(R48,R$61:S$70,2))</f>
        <v>0</v>
      </c>
    </row>
    <row r="49" spans="1:28" ht="18" customHeight="1" thickBot="1" x14ac:dyDescent="0.25">
      <c r="A49" s="77"/>
      <c r="B49" s="198" t="s">
        <v>11</v>
      </c>
      <c r="C49" s="199"/>
      <c r="D49" s="4">
        <f>M18</f>
        <v>110</v>
      </c>
      <c r="E49" s="101"/>
      <c r="F49" s="77"/>
      <c r="G49" s="77"/>
      <c r="H49" s="77"/>
      <c r="I49" s="77"/>
      <c r="J49" s="77"/>
      <c r="K49" s="77"/>
      <c r="L49" s="77"/>
      <c r="M49" s="77"/>
      <c r="N49" s="77"/>
      <c r="O49" s="77"/>
      <c r="P49" s="82"/>
      <c r="Q49">
        <v>3</v>
      </c>
      <c r="R49" s="21">
        <f>E73++(E65/100000)</f>
        <v>2.7532935779816511E-2</v>
      </c>
      <c r="S49" s="22">
        <f t="shared" si="2"/>
        <v>2.7532935779816511E-2</v>
      </c>
      <c r="T49" s="22">
        <f t="shared" ref="T49:AA49" si="5">IF(S49=S$57,"-",S49)</f>
        <v>2.7532935779816511E-2</v>
      </c>
      <c r="U49" s="22">
        <f t="shared" si="5"/>
        <v>2.7532935779816511E-2</v>
      </c>
      <c r="V49" s="22">
        <f t="shared" si="5"/>
        <v>2.7532935779816511E-2</v>
      </c>
      <c r="W49" s="22" t="str">
        <f t="shared" si="5"/>
        <v>-</v>
      </c>
      <c r="X49" s="22" t="str">
        <f t="shared" si="5"/>
        <v>-</v>
      </c>
      <c r="Y49" s="22" t="str">
        <f t="shared" si="5"/>
        <v>-</v>
      </c>
      <c r="Z49" s="22" t="str">
        <f t="shared" si="5"/>
        <v>-</v>
      </c>
      <c r="AA49" s="22" t="str">
        <f t="shared" si="5"/>
        <v>-</v>
      </c>
      <c r="AB49" s="32">
        <f t="shared" si="4"/>
        <v>0</v>
      </c>
    </row>
    <row r="50" spans="1:28" ht="18" customHeight="1" thickBot="1" x14ac:dyDescent="0.25">
      <c r="A50" s="77"/>
      <c r="B50" s="198" t="s">
        <v>24</v>
      </c>
      <c r="C50" s="199"/>
      <c r="D50" s="4">
        <f>D26</f>
        <v>109</v>
      </c>
      <c r="E50" s="101"/>
      <c r="F50" s="77"/>
      <c r="G50" s="77"/>
      <c r="H50" s="77"/>
      <c r="I50" s="77"/>
      <c r="J50" s="77"/>
      <c r="K50" s="77"/>
      <c r="L50" s="77"/>
      <c r="M50" s="77"/>
      <c r="N50" s="77"/>
      <c r="O50" s="77"/>
      <c r="P50" s="82"/>
      <c r="Q50">
        <v>4</v>
      </c>
      <c r="R50" s="21">
        <f>F73+(F65/100000)</f>
        <v>0.71585633027522932</v>
      </c>
      <c r="S50" s="22">
        <f t="shared" si="2"/>
        <v>0.71585633027522932</v>
      </c>
      <c r="T50" s="22" t="str">
        <f t="shared" ref="T50:AA50" si="6">IF(S50=S$57,"-",S50)</f>
        <v>-</v>
      </c>
      <c r="U50" s="22" t="str">
        <f t="shared" si="6"/>
        <v>-</v>
      </c>
      <c r="V50" s="22" t="str">
        <f t="shared" si="6"/>
        <v>-</v>
      </c>
      <c r="W50" s="22" t="str">
        <f t="shared" si="6"/>
        <v>-</v>
      </c>
      <c r="X50" s="22" t="str">
        <f t="shared" si="6"/>
        <v>-</v>
      </c>
      <c r="Y50" s="22" t="str">
        <f t="shared" si="6"/>
        <v>-</v>
      </c>
      <c r="Z50" s="22" t="str">
        <f t="shared" si="6"/>
        <v>-</v>
      </c>
      <c r="AA50" s="22" t="str">
        <f t="shared" si="6"/>
        <v>-</v>
      </c>
      <c r="AB50" s="32">
        <f t="shared" si="4"/>
        <v>1</v>
      </c>
    </row>
    <row r="51" spans="1:28" ht="18" customHeight="1" thickBot="1" x14ac:dyDescent="0.3">
      <c r="A51" s="77"/>
      <c r="B51" s="198" t="s">
        <v>22</v>
      </c>
      <c r="C51" s="199"/>
      <c r="D51" s="6">
        <f>J26</f>
        <v>3</v>
      </c>
      <c r="E51" s="187" t="s">
        <v>32</v>
      </c>
      <c r="F51" s="187"/>
      <c r="G51" s="187"/>
      <c r="H51" s="187"/>
      <c r="I51" s="187"/>
      <c r="J51" s="77"/>
      <c r="K51" s="77"/>
      <c r="L51" s="77"/>
      <c r="M51" s="77"/>
      <c r="N51" s="77"/>
      <c r="O51" s="77"/>
      <c r="P51" s="82"/>
      <c r="Q51">
        <v>5</v>
      </c>
      <c r="R51" s="21">
        <f>G73+(G65/100000)</f>
        <v>0.19273055045871557</v>
      </c>
      <c r="S51" s="22">
        <f t="shared" si="2"/>
        <v>0.19273055045871557</v>
      </c>
      <c r="T51" s="22">
        <f t="shared" ref="T51:AA51" si="7">IF(S51=S$57,"-",S51)</f>
        <v>0.19273055045871557</v>
      </c>
      <c r="U51" s="22" t="str">
        <f t="shared" si="7"/>
        <v>-</v>
      </c>
      <c r="V51" s="22" t="str">
        <f t="shared" si="7"/>
        <v>-</v>
      </c>
      <c r="W51" s="22" t="str">
        <f t="shared" si="7"/>
        <v>-</v>
      </c>
      <c r="X51" s="22" t="str">
        <f t="shared" si="7"/>
        <v>-</v>
      </c>
      <c r="Y51" s="22" t="str">
        <f t="shared" si="7"/>
        <v>-</v>
      </c>
      <c r="Z51" s="22" t="str">
        <f t="shared" si="7"/>
        <v>-</v>
      </c>
      <c r="AA51" s="22" t="str">
        <f t="shared" si="7"/>
        <v>-</v>
      </c>
      <c r="AB51" s="32">
        <f t="shared" si="4"/>
        <v>0</v>
      </c>
    </row>
    <row r="52" spans="1:28" ht="18" customHeight="1" x14ac:dyDescent="0.2">
      <c r="A52" s="77"/>
      <c r="B52" s="176"/>
      <c r="C52" s="176"/>
      <c r="D52" s="176"/>
      <c r="E52" s="176"/>
      <c r="F52" s="176"/>
      <c r="G52" s="176"/>
      <c r="H52" s="176"/>
      <c r="I52" s="176"/>
      <c r="J52" s="176"/>
      <c r="K52" s="176"/>
      <c r="L52" s="176"/>
      <c r="M52" s="176"/>
      <c r="N52" s="176"/>
      <c r="O52" s="176"/>
      <c r="P52" s="82"/>
      <c r="Q52">
        <v>6</v>
      </c>
      <c r="R52" s="21">
        <f>H73+(H65/100000)</f>
        <v>0</v>
      </c>
      <c r="S52" s="22">
        <f t="shared" si="2"/>
        <v>0</v>
      </c>
      <c r="T52" s="22">
        <f t="shared" ref="T52:AA52" si="8">IF(S52=S$57,"-",S52)</f>
        <v>0</v>
      </c>
      <c r="U52" s="22">
        <f t="shared" si="8"/>
        <v>0</v>
      </c>
      <c r="V52" s="22">
        <f t="shared" si="8"/>
        <v>0</v>
      </c>
      <c r="W52" s="22">
        <f t="shared" si="8"/>
        <v>0</v>
      </c>
      <c r="X52" s="22" t="str">
        <f t="shared" si="8"/>
        <v>-</v>
      </c>
      <c r="Y52" s="22" t="str">
        <f t="shared" si="8"/>
        <v>-</v>
      </c>
      <c r="Z52" s="22" t="str">
        <f t="shared" si="8"/>
        <v>-</v>
      </c>
      <c r="AA52" s="22" t="str">
        <f t="shared" si="8"/>
        <v>-</v>
      </c>
      <c r="AB52" s="32">
        <f t="shared" si="4"/>
        <v>0</v>
      </c>
    </row>
    <row r="53" spans="1:28" ht="18" customHeight="1" x14ac:dyDescent="0.2">
      <c r="A53" s="77"/>
      <c r="B53" s="207" t="s">
        <v>53</v>
      </c>
      <c r="C53" s="208"/>
      <c r="D53" s="208"/>
      <c r="E53" s="208"/>
      <c r="F53" s="208"/>
      <c r="G53" s="208"/>
      <c r="H53" s="208"/>
      <c r="I53" s="208"/>
      <c r="J53" s="208"/>
      <c r="K53" s="208"/>
      <c r="L53" s="208"/>
      <c r="M53" s="208"/>
      <c r="N53" s="208"/>
      <c r="O53" s="209"/>
      <c r="P53" s="82"/>
      <c r="Q53">
        <v>7</v>
      </c>
      <c r="R53" s="21">
        <f>I73+(I65/100000)</f>
        <v>0</v>
      </c>
      <c r="S53" s="22">
        <f t="shared" si="2"/>
        <v>0</v>
      </c>
      <c r="T53" s="22">
        <f t="shared" ref="T53:AA53" si="9">IF(S53=S$57,"-",S53)</f>
        <v>0</v>
      </c>
      <c r="U53" s="22">
        <f t="shared" si="9"/>
        <v>0</v>
      </c>
      <c r="V53" s="22">
        <f t="shared" si="9"/>
        <v>0</v>
      </c>
      <c r="W53" s="22">
        <f t="shared" si="9"/>
        <v>0</v>
      </c>
      <c r="X53" s="22" t="str">
        <f t="shared" si="9"/>
        <v>-</v>
      </c>
      <c r="Y53" s="22" t="str">
        <f t="shared" si="9"/>
        <v>-</v>
      </c>
      <c r="Z53" s="22" t="str">
        <f t="shared" si="9"/>
        <v>-</v>
      </c>
      <c r="AA53" s="22" t="str">
        <f t="shared" si="9"/>
        <v>-</v>
      </c>
      <c r="AB53" s="32">
        <f t="shared" si="4"/>
        <v>0</v>
      </c>
    </row>
    <row r="54" spans="1:28" ht="18" customHeight="1" x14ac:dyDescent="0.2">
      <c r="A54" s="77"/>
      <c r="B54" s="186" t="s">
        <v>34</v>
      </c>
      <c r="C54" s="200" t="s">
        <v>28</v>
      </c>
      <c r="D54" s="200"/>
      <c r="E54" s="180" t="s">
        <v>57</v>
      </c>
      <c r="F54" s="181"/>
      <c r="G54" s="181"/>
      <c r="H54" s="181"/>
      <c r="I54" s="181"/>
      <c r="J54" s="181"/>
      <c r="K54" s="181"/>
      <c r="L54" s="181"/>
      <c r="M54" s="181"/>
      <c r="N54" s="181"/>
      <c r="O54" s="182"/>
      <c r="P54" s="82"/>
      <c r="Q54">
        <v>8</v>
      </c>
      <c r="R54" s="21">
        <f>J73+(J65/100000)</f>
        <v>0</v>
      </c>
      <c r="S54" s="22">
        <f t="shared" si="2"/>
        <v>0</v>
      </c>
      <c r="T54" s="22">
        <f t="shared" ref="T54:AA54" si="10">IF(S54=S$57,"-",S54)</f>
        <v>0</v>
      </c>
      <c r="U54" s="22">
        <f t="shared" si="10"/>
        <v>0</v>
      </c>
      <c r="V54" s="22">
        <f t="shared" si="10"/>
        <v>0</v>
      </c>
      <c r="W54" s="22">
        <f t="shared" si="10"/>
        <v>0</v>
      </c>
      <c r="X54" s="22" t="str">
        <f t="shared" si="10"/>
        <v>-</v>
      </c>
      <c r="Y54" s="22" t="str">
        <f t="shared" si="10"/>
        <v>-</v>
      </c>
      <c r="Z54" s="22" t="str">
        <f t="shared" si="10"/>
        <v>-</v>
      </c>
      <c r="AA54" s="22" t="str">
        <f t="shared" si="10"/>
        <v>-</v>
      </c>
      <c r="AB54" s="32">
        <f t="shared" si="4"/>
        <v>0</v>
      </c>
    </row>
    <row r="55" spans="1:28" ht="18" customHeight="1" x14ac:dyDescent="0.2">
      <c r="A55" s="77"/>
      <c r="B55" s="186"/>
      <c r="C55" s="200"/>
      <c r="D55" s="200"/>
      <c r="E55" s="183"/>
      <c r="F55" s="184"/>
      <c r="G55" s="184"/>
      <c r="H55" s="184"/>
      <c r="I55" s="184"/>
      <c r="J55" s="184"/>
      <c r="K55" s="184"/>
      <c r="L55" s="184"/>
      <c r="M55" s="184"/>
      <c r="N55" s="184"/>
      <c r="O55" s="185"/>
      <c r="P55" s="82"/>
      <c r="Q55">
        <v>9</v>
      </c>
      <c r="R55" s="21">
        <f>K73+(K65/100000)</f>
        <v>0</v>
      </c>
      <c r="S55" s="22">
        <f t="shared" si="2"/>
        <v>0</v>
      </c>
      <c r="T55" s="22">
        <f t="shared" ref="T55:AA55" si="11">IF(S55=S$57,"-",S55)</f>
        <v>0</v>
      </c>
      <c r="U55" s="22">
        <f t="shared" si="11"/>
        <v>0</v>
      </c>
      <c r="V55" s="22">
        <f t="shared" si="11"/>
        <v>0</v>
      </c>
      <c r="W55" s="22">
        <f t="shared" si="11"/>
        <v>0</v>
      </c>
      <c r="X55" s="22" t="str">
        <f t="shared" si="11"/>
        <v>-</v>
      </c>
      <c r="Y55" s="22" t="str">
        <f t="shared" si="11"/>
        <v>-</v>
      </c>
      <c r="Z55" s="22" t="str">
        <f t="shared" si="11"/>
        <v>-</v>
      </c>
      <c r="AA55" s="22" t="str">
        <f t="shared" si="11"/>
        <v>-</v>
      </c>
      <c r="AB55" s="32">
        <f t="shared" si="4"/>
        <v>0</v>
      </c>
    </row>
    <row r="56" spans="1:28" ht="18" customHeight="1" x14ac:dyDescent="0.2">
      <c r="A56" s="77"/>
      <c r="B56" s="186" t="s">
        <v>35</v>
      </c>
      <c r="C56" s="197" t="s">
        <v>38</v>
      </c>
      <c r="D56" s="197"/>
      <c r="E56" s="201" t="s">
        <v>40</v>
      </c>
      <c r="F56" s="202"/>
      <c r="G56" s="202"/>
      <c r="H56" s="202"/>
      <c r="I56" s="202"/>
      <c r="J56" s="202"/>
      <c r="K56" s="202"/>
      <c r="L56" s="202"/>
      <c r="M56" s="202"/>
      <c r="N56" s="202"/>
      <c r="O56" s="203"/>
      <c r="P56" s="82"/>
      <c r="Q56">
        <v>10</v>
      </c>
      <c r="R56" s="23">
        <f>L73+(L65/100000)</f>
        <v>0</v>
      </c>
      <c r="S56" s="24">
        <f t="shared" si="2"/>
        <v>0</v>
      </c>
      <c r="T56" s="24">
        <f t="shared" ref="T56:AA56" si="12">IF(S56=S$57,"-",S56)</f>
        <v>0</v>
      </c>
      <c r="U56" s="24">
        <f t="shared" si="12"/>
        <v>0</v>
      </c>
      <c r="V56" s="24">
        <f t="shared" si="12"/>
        <v>0</v>
      </c>
      <c r="W56" s="24">
        <f t="shared" si="12"/>
        <v>0</v>
      </c>
      <c r="X56" s="24" t="str">
        <f t="shared" si="12"/>
        <v>-</v>
      </c>
      <c r="Y56" s="24" t="str">
        <f t="shared" si="12"/>
        <v>-</v>
      </c>
      <c r="Z56" s="24" t="str">
        <f t="shared" si="12"/>
        <v>-</v>
      </c>
      <c r="AA56" s="24" t="str">
        <f t="shared" si="12"/>
        <v>-</v>
      </c>
      <c r="AB56" s="32">
        <f t="shared" si="4"/>
        <v>0</v>
      </c>
    </row>
    <row r="57" spans="1:28" ht="18" customHeight="1" x14ac:dyDescent="0.2">
      <c r="A57" s="77"/>
      <c r="B57" s="186"/>
      <c r="C57" s="197"/>
      <c r="D57" s="197"/>
      <c r="E57" s="204"/>
      <c r="F57" s="205"/>
      <c r="G57" s="205"/>
      <c r="H57" s="205"/>
      <c r="I57" s="205"/>
      <c r="J57" s="205"/>
      <c r="K57" s="205"/>
      <c r="L57" s="205"/>
      <c r="M57" s="205"/>
      <c r="N57" s="205"/>
      <c r="O57" s="206"/>
      <c r="P57" s="82"/>
      <c r="R57" s="25">
        <f t="shared" ref="R57:AA57" si="13">MAX(R47:R56)</f>
        <v>0.88105394495412837</v>
      </c>
      <c r="S57" s="25">
        <f>MAX(S47:S56)</f>
        <v>0.71585633027522932</v>
      </c>
      <c r="T57" s="25">
        <f t="shared" si="13"/>
        <v>0.19273055045871557</v>
      </c>
      <c r="U57" s="25">
        <f t="shared" si="13"/>
        <v>0.18391623853211012</v>
      </c>
      <c r="V57" s="25">
        <f t="shared" si="13"/>
        <v>2.7532935779816511E-2</v>
      </c>
      <c r="W57" s="25">
        <f t="shared" si="13"/>
        <v>0</v>
      </c>
      <c r="X57" s="25">
        <f t="shared" si="13"/>
        <v>0</v>
      </c>
      <c r="Y57" s="25">
        <f t="shared" si="13"/>
        <v>0</v>
      </c>
      <c r="Z57" s="25">
        <f t="shared" si="13"/>
        <v>0</v>
      </c>
      <c r="AA57" s="25">
        <f t="shared" si="13"/>
        <v>0</v>
      </c>
      <c r="AB57" s="30"/>
    </row>
    <row r="58" spans="1:28" ht="18" customHeight="1" x14ac:dyDescent="0.2">
      <c r="A58" s="77"/>
      <c r="B58" s="186" t="s">
        <v>36</v>
      </c>
      <c r="C58" s="213" t="s">
        <v>39</v>
      </c>
      <c r="D58" s="213"/>
      <c r="E58" s="180" t="s">
        <v>47</v>
      </c>
      <c r="F58" s="181"/>
      <c r="G58" s="181"/>
      <c r="H58" s="181"/>
      <c r="I58" s="181"/>
      <c r="J58" s="181"/>
      <c r="K58" s="181"/>
      <c r="L58" s="181"/>
      <c r="M58" s="181"/>
      <c r="N58" s="181"/>
      <c r="O58" s="182"/>
      <c r="P58" s="82"/>
      <c r="Q58">
        <v>0</v>
      </c>
      <c r="R58" s="31">
        <f>IF($N67-SUM($Q58:Q58)&lt;=0,0,COUNTIF(R47:R56,R57))</f>
        <v>1</v>
      </c>
      <c r="S58" s="31">
        <f>IF($N67-SUM($Q58:R58)&lt;=0,0,COUNTIF(S47:S56,S57))</f>
        <v>1</v>
      </c>
      <c r="T58" s="31">
        <f>IF($N67-SUM($Q58:S58)&lt;=0,0,COUNTIF(T47:T56,T57))</f>
        <v>0</v>
      </c>
      <c r="U58" s="31">
        <f>IF($N67-SUM($Q58:T58)&lt;=0,0,COUNTIF(U47:U56,U57))</f>
        <v>0</v>
      </c>
      <c r="V58" s="31">
        <f>IF($N67-SUM($Q58:U58)&lt;=0,0,COUNTIF(V47:V56,V57))</f>
        <v>0</v>
      </c>
      <c r="W58" s="31">
        <f>IF($N67-SUM($Q58:V58)&lt;=0,0,COUNTIF(W47:W56,W57))</f>
        <v>0</v>
      </c>
      <c r="X58" s="31">
        <f>IF($N67-SUM($Q58:W58)&lt;=0,0,COUNTIF(X47:X56,X57))</f>
        <v>0</v>
      </c>
      <c r="Y58" s="31">
        <f>IF($N67-SUM($Q58:X58)&lt;=0,0,COUNTIF(Y47:Y56,Y57))</f>
        <v>0</v>
      </c>
      <c r="Z58" s="31">
        <f>IF($N67-SUM($Q58:Y58)&lt;=0,0,COUNTIF(Z47:Z56,Z57))</f>
        <v>0</v>
      </c>
      <c r="AA58" s="31">
        <f>IF($N67-SUM($Q58:Z58)&lt;=0,0,COUNTIF(AA47:AA56,AA57))</f>
        <v>0</v>
      </c>
      <c r="AB58" s="32">
        <f>COUNTIF(R58:AA58,"&gt;0")</f>
        <v>2</v>
      </c>
    </row>
    <row r="59" spans="1:28" ht="18" customHeight="1" x14ac:dyDescent="0.2">
      <c r="A59" s="77"/>
      <c r="B59" s="186"/>
      <c r="C59" s="213"/>
      <c r="D59" s="213"/>
      <c r="E59" s="183"/>
      <c r="F59" s="184"/>
      <c r="G59" s="184"/>
      <c r="H59" s="184"/>
      <c r="I59" s="184"/>
      <c r="J59" s="184"/>
      <c r="K59" s="184"/>
      <c r="L59" s="184"/>
      <c r="M59" s="184"/>
      <c r="N59" s="184"/>
      <c r="O59" s="185"/>
      <c r="P59" s="82"/>
    </row>
    <row r="60" spans="1:28" ht="18" customHeight="1" thickBot="1" x14ac:dyDescent="0.25">
      <c r="A60" s="77"/>
      <c r="B60" s="176"/>
      <c r="C60" s="176"/>
      <c r="D60" s="176"/>
      <c r="E60" s="176"/>
      <c r="F60" s="176"/>
      <c r="G60" s="176"/>
      <c r="H60" s="176"/>
      <c r="I60" s="176"/>
      <c r="J60" s="176"/>
      <c r="K60" s="176"/>
      <c r="L60" s="176"/>
      <c r="M60" s="176"/>
      <c r="N60" s="176"/>
      <c r="O60" s="176"/>
      <c r="P60" s="82"/>
    </row>
    <row r="61" spans="1:28" ht="18" customHeight="1" thickBot="1" x14ac:dyDescent="0.25">
      <c r="A61" s="77"/>
      <c r="B61" s="215" t="s">
        <v>33</v>
      </c>
      <c r="C61" s="216"/>
      <c r="D61" s="14">
        <f>IF(D51=0,0,D50/D51)</f>
        <v>36.333333333333336</v>
      </c>
      <c r="E61" s="195" t="s">
        <v>30</v>
      </c>
      <c r="F61" s="196"/>
      <c r="G61" s="196"/>
      <c r="H61" s="196"/>
      <c r="I61" s="59"/>
      <c r="J61" s="77"/>
      <c r="K61" s="77"/>
      <c r="L61" s="77"/>
      <c r="M61" s="77"/>
      <c r="N61" s="77"/>
      <c r="O61" s="77"/>
      <c r="P61" s="82"/>
      <c r="Q61">
        <v>10</v>
      </c>
      <c r="R61" s="26">
        <f>AA57</f>
        <v>0</v>
      </c>
      <c r="S61" s="5">
        <f>IF(R61=0,0,AA58)</f>
        <v>0</v>
      </c>
    </row>
    <row r="62" spans="1:28" ht="18" customHeight="1" thickBot="1" x14ac:dyDescent="0.25">
      <c r="A62" s="77"/>
      <c r="B62" s="77"/>
      <c r="C62" s="77"/>
      <c r="D62" s="77"/>
      <c r="E62" s="77"/>
      <c r="F62" s="77"/>
      <c r="G62" s="77"/>
      <c r="H62" s="77"/>
      <c r="I62" s="77"/>
      <c r="J62" s="77"/>
      <c r="K62" s="77"/>
      <c r="L62" s="77"/>
      <c r="M62" s="77"/>
      <c r="N62" s="77"/>
      <c r="O62" s="77"/>
      <c r="P62" s="82"/>
      <c r="Q62">
        <v>9</v>
      </c>
      <c r="R62" s="26">
        <f>Z57</f>
        <v>0</v>
      </c>
      <c r="S62" s="5">
        <f>IF(R62=0,0,Z58)</f>
        <v>0</v>
      </c>
    </row>
    <row r="63" spans="1:28" ht="18" customHeight="1" x14ac:dyDescent="0.2">
      <c r="A63" s="77"/>
      <c r="C63" s="92" t="str">
        <f>C32</f>
        <v>FLC CGIL</v>
      </c>
      <c r="D63" s="92" t="str">
        <f>C33</f>
        <v>Federazione CISL - Scuola, Università, Ricerca</v>
      </c>
      <c r="E63" s="92" t="str">
        <f>C34</f>
        <v>ANIEF</v>
      </c>
      <c r="F63" s="92" t="str">
        <f>C35</f>
        <v>GILDA</v>
      </c>
      <c r="G63" s="92" t="str">
        <f>C36</f>
        <v>FEDERAZIONE UIL SCUOLA RUA</v>
      </c>
      <c r="H63" s="92">
        <f>C37</f>
        <v>0</v>
      </c>
      <c r="I63" s="92">
        <f>C38</f>
        <v>0</v>
      </c>
      <c r="J63" s="92">
        <f>C39</f>
        <v>0</v>
      </c>
      <c r="K63" s="92">
        <f>C40</f>
        <v>0</v>
      </c>
      <c r="L63" s="92">
        <f>C41</f>
        <v>0</v>
      </c>
      <c r="M63" s="77"/>
      <c r="N63" s="77"/>
      <c r="O63" s="77"/>
      <c r="P63" s="82"/>
      <c r="Q63">
        <v>8</v>
      </c>
      <c r="R63" s="26">
        <f>Y57</f>
        <v>0</v>
      </c>
      <c r="S63" s="5">
        <f>IF(R63=0,0,Y58)</f>
        <v>0</v>
      </c>
    </row>
    <row r="64" spans="1:28" ht="18" customHeight="1" thickBot="1" x14ac:dyDescent="0.25">
      <c r="A64" s="77"/>
      <c r="B64" s="60"/>
      <c r="C64" s="94"/>
      <c r="D64" s="94"/>
      <c r="E64" s="94"/>
      <c r="F64" s="94"/>
      <c r="G64" s="94"/>
      <c r="H64" s="94"/>
      <c r="I64" s="94"/>
      <c r="J64" s="94"/>
      <c r="K64" s="94"/>
      <c r="L64" s="94"/>
      <c r="M64" s="61"/>
      <c r="N64" s="61"/>
      <c r="O64" s="61"/>
      <c r="P64" s="82"/>
      <c r="Q64">
        <v>7</v>
      </c>
      <c r="R64" s="26">
        <f>X57</f>
        <v>0</v>
      </c>
      <c r="S64" s="5">
        <f>IF(R64=0,0,X58)</f>
        <v>0</v>
      </c>
    </row>
    <row r="65" spans="1:30" ht="18" customHeight="1" x14ac:dyDescent="0.2">
      <c r="A65" s="77"/>
      <c r="B65" s="140" t="s">
        <v>23</v>
      </c>
      <c r="C65" s="62">
        <f>I32</f>
        <v>32</v>
      </c>
      <c r="D65" s="62">
        <f>I33</f>
        <v>43</v>
      </c>
      <c r="E65" s="62">
        <f>I34</f>
        <v>1</v>
      </c>
      <c r="F65" s="62">
        <f>I35</f>
        <v>26</v>
      </c>
      <c r="G65" s="62">
        <f>I36</f>
        <v>7</v>
      </c>
      <c r="H65" s="62">
        <f>I37</f>
        <v>0</v>
      </c>
      <c r="I65" s="62">
        <f>I38</f>
        <v>0</v>
      </c>
      <c r="J65" s="62">
        <f>I39</f>
        <v>0</v>
      </c>
      <c r="K65" s="62">
        <f>I40</f>
        <v>0</v>
      </c>
      <c r="L65" s="62">
        <f>I41</f>
        <v>0</v>
      </c>
      <c r="M65" s="64" t="s">
        <v>64</v>
      </c>
      <c r="N65" s="65"/>
      <c r="O65" s="66"/>
      <c r="P65" s="82"/>
      <c r="Q65">
        <v>6</v>
      </c>
      <c r="R65" s="26">
        <f>W57</f>
        <v>0</v>
      </c>
      <c r="S65" s="5">
        <f>IF(R65=0,0,W58)</f>
        <v>0</v>
      </c>
      <c r="U65" s="54"/>
      <c r="W65" s="55"/>
    </row>
    <row r="66" spans="1:30" ht="18" customHeight="1" thickBot="1" x14ac:dyDescent="0.25">
      <c r="A66" s="77"/>
      <c r="B66" s="142"/>
      <c r="C66" s="63"/>
      <c r="D66" s="63"/>
      <c r="E66" s="63"/>
      <c r="F66" s="63"/>
      <c r="G66" s="63"/>
      <c r="H66" s="63"/>
      <c r="I66" s="63"/>
      <c r="J66" s="63"/>
      <c r="K66" s="63"/>
      <c r="L66" s="63"/>
      <c r="M66" s="67"/>
      <c r="N66" s="68"/>
      <c r="O66" s="69"/>
      <c r="P66" s="82"/>
      <c r="Q66">
        <v>5</v>
      </c>
      <c r="R66" s="26">
        <f>V57</f>
        <v>2.7532935779816511E-2</v>
      </c>
      <c r="S66" s="5">
        <f>IF(R66=0,0,V58)</f>
        <v>0</v>
      </c>
      <c r="U66" s="54"/>
      <c r="W66" s="55"/>
    </row>
    <row r="67" spans="1:30" ht="18" customHeight="1" x14ac:dyDescent="0.2">
      <c r="A67" s="77"/>
      <c r="B67" s="191" t="s">
        <v>37</v>
      </c>
      <c r="C67" s="70">
        <f t="shared" ref="C67:L67" si="14">IF($I$43="OK",INT(C65/$D61),0)</f>
        <v>0</v>
      </c>
      <c r="D67" s="70">
        <f t="shared" si="14"/>
        <v>1</v>
      </c>
      <c r="E67" s="70">
        <f t="shared" si="14"/>
        <v>0</v>
      </c>
      <c r="F67" s="70">
        <f t="shared" si="14"/>
        <v>0</v>
      </c>
      <c r="G67" s="70">
        <f t="shared" si="14"/>
        <v>0</v>
      </c>
      <c r="H67" s="70">
        <f t="shared" si="14"/>
        <v>0</v>
      </c>
      <c r="I67" s="70">
        <f t="shared" si="14"/>
        <v>0</v>
      </c>
      <c r="J67" s="70">
        <f t="shared" si="14"/>
        <v>0</v>
      </c>
      <c r="K67" s="70">
        <f t="shared" si="14"/>
        <v>0</v>
      </c>
      <c r="L67" s="70">
        <f t="shared" si="14"/>
        <v>0</v>
      </c>
      <c r="M67" s="57">
        <f>SUM(C67:L68)</f>
        <v>1</v>
      </c>
      <c r="N67" s="58">
        <f>D51-M67</f>
        <v>2</v>
      </c>
      <c r="O67" s="188" t="str">
        <f>IF(N75="??","Attenzione:
seggi non assegnati completamente o assegnati in eccesso.
In caso di parità di resti seguire i passaggi successivi per definire la priorità di assegnazione.","OPERAZIONI CONCLUSE
SEGGI ASSEGNATI ALLE LISTE")</f>
        <v>OPERAZIONI CONCLUSE
SEGGI ASSEGNATI ALLE LISTE</v>
      </c>
      <c r="P67" s="82"/>
      <c r="Q67">
        <v>4</v>
      </c>
      <c r="R67" s="26">
        <f>U57</f>
        <v>0.18391623853211012</v>
      </c>
      <c r="S67" s="5">
        <f>IF(R67=0,0,U58)</f>
        <v>0</v>
      </c>
      <c r="U67" s="56"/>
      <c r="W67" s="55"/>
    </row>
    <row r="68" spans="1:30" ht="18" customHeight="1" x14ac:dyDescent="0.2">
      <c r="A68" s="77"/>
      <c r="B68" s="192"/>
      <c r="C68" s="71"/>
      <c r="D68" s="71"/>
      <c r="E68" s="71"/>
      <c r="F68" s="71"/>
      <c r="G68" s="71"/>
      <c r="H68" s="71"/>
      <c r="I68" s="71"/>
      <c r="J68" s="71"/>
      <c r="K68" s="71"/>
      <c r="L68" s="71"/>
      <c r="M68" s="219" t="str">
        <f>IF(OR(M67=0,M67&gt;1),"Seggi ripartiti con quoziente","Seggio ripartito con quoziente")</f>
        <v>Seggio ripartito con quoziente</v>
      </c>
      <c r="N68" s="217" t="str">
        <f>IF(OR(N67=0,N67&gt;1),"Seggi rimanenti da assegnare","Seggio rimanente da assegnare")</f>
        <v>Seggi rimanenti da assegnare</v>
      </c>
      <c r="O68" s="189"/>
      <c r="P68" s="82"/>
      <c r="Q68">
        <v>3</v>
      </c>
      <c r="R68" s="26">
        <f>T57</f>
        <v>0.19273055045871557</v>
      </c>
      <c r="S68" s="5">
        <f>IF(R68=0,0,T58)</f>
        <v>0</v>
      </c>
      <c r="W68" s="55"/>
    </row>
    <row r="69" spans="1:30" ht="18" customHeight="1" thickBot="1" x14ac:dyDescent="0.25">
      <c r="A69" s="77"/>
      <c r="B69" s="194"/>
      <c r="C69" s="72"/>
      <c r="D69" s="72"/>
      <c r="E69" s="72"/>
      <c r="F69" s="72"/>
      <c r="G69" s="72"/>
      <c r="H69" s="72"/>
      <c r="I69" s="72"/>
      <c r="J69" s="72"/>
      <c r="K69" s="72"/>
      <c r="L69" s="72"/>
      <c r="M69" s="220"/>
      <c r="N69" s="218"/>
      <c r="O69" s="189"/>
      <c r="P69" s="82"/>
      <c r="Q69">
        <v>2</v>
      </c>
      <c r="R69" s="26">
        <f>S57</f>
        <v>0.71585633027522932</v>
      </c>
      <c r="S69" s="5">
        <f>IF(R69=0,0,S58)</f>
        <v>1</v>
      </c>
      <c r="U69" s="56"/>
      <c r="W69" s="55"/>
    </row>
    <row r="70" spans="1:30" ht="18" customHeight="1" x14ac:dyDescent="0.2">
      <c r="A70" s="77"/>
      <c r="B70" s="191" t="s">
        <v>63</v>
      </c>
      <c r="C70" s="70">
        <f>IF(AND($I$43="OK",M67&lt;&gt;J26),VLOOKUP(1,$Q47:$AB56,12),0)</f>
        <v>1</v>
      </c>
      <c r="D70" s="70">
        <f>IF($I$43="OK",VLOOKUP(2,$Q47:$AB56,12),0)</f>
        <v>0</v>
      </c>
      <c r="E70" s="70">
        <f>IF($I$43="OK",VLOOKUP(3,$Q47:$AB56,12),0)</f>
        <v>0</v>
      </c>
      <c r="F70" s="70">
        <f>IF($I$43="OK",VLOOKUP(4,$Q47:$AB56,12),0)</f>
        <v>1</v>
      </c>
      <c r="G70" s="70">
        <f>IF($I$43="OK",VLOOKUP(5,$Q47:$AB56,12),0)</f>
        <v>0</v>
      </c>
      <c r="H70" s="70">
        <f>IF($I$43="OK",VLOOKUP(6,$Q47:$AB56,12),0)</f>
        <v>0</v>
      </c>
      <c r="I70" s="70">
        <f>IF($I$43="OK",VLOOKUP(7,$Q47:$AB56,12),0)</f>
        <v>0</v>
      </c>
      <c r="J70" s="70">
        <f>IF($I$43="OK",VLOOKUP(8,$Q47:$AB56,12),0)</f>
        <v>0</v>
      </c>
      <c r="K70" s="70">
        <f>IF($I$43="OK",VLOOKUP(9,$Q47:$AB56,12),0)</f>
        <v>0</v>
      </c>
      <c r="L70" s="70">
        <f>IF($I$43="OK",VLOOKUP(10,$Q47:$AB56,12),0)</f>
        <v>0</v>
      </c>
      <c r="M70" s="17">
        <f>IF((SUM(C67:L69)&lt;=J26),SUM(C70:L72),0)</f>
        <v>2</v>
      </c>
      <c r="N70" s="58">
        <f>N67-M70</f>
        <v>0</v>
      </c>
      <c r="O70" s="189"/>
      <c r="P70" s="82"/>
      <c r="Q70">
        <v>1</v>
      </c>
      <c r="R70" s="26">
        <f>R57</f>
        <v>0.88105394495412837</v>
      </c>
      <c r="S70" s="5">
        <f>IF(R70=0,0,R58)</f>
        <v>1</v>
      </c>
      <c r="U70" s="54"/>
      <c r="W70" s="55"/>
    </row>
    <row r="71" spans="1:30" ht="18" customHeight="1" x14ac:dyDescent="0.2">
      <c r="A71" s="77"/>
      <c r="B71" s="192"/>
      <c r="C71" s="71"/>
      <c r="D71" s="71"/>
      <c r="E71" s="71"/>
      <c r="F71" s="71"/>
      <c r="G71" s="71"/>
      <c r="H71" s="71"/>
      <c r="I71" s="71"/>
      <c r="J71" s="71"/>
      <c r="K71" s="71"/>
      <c r="L71" s="71"/>
      <c r="M71" s="219" t="str">
        <f>IF(OR(M70=0,M70&gt;1),CONCATENATE("Seggi ripartiti su ",J26," attribuibili totali"),"Seggio assegnato con resti")</f>
        <v>Seggi ripartiti su 3 attribuibili totali</v>
      </c>
      <c r="N71" s="217" t="str">
        <f>IF(N70&lt;0,CONCATENATE("SEGGI CONTESI fra liste concorrenti a parità di resti"),IF(OR(N70=0,N70&gt;1),"Seggi rimanenti da assegnare","Seggio rimanente da assegnare"))</f>
        <v>Seggi rimanenti da assegnare</v>
      </c>
      <c r="O71" s="189"/>
      <c r="P71" s="82"/>
    </row>
    <row r="72" spans="1:30" ht="18" customHeight="1" thickBot="1" x14ac:dyDescent="0.25">
      <c r="A72" s="77"/>
      <c r="B72" s="194"/>
      <c r="C72" s="72"/>
      <c r="D72" s="72"/>
      <c r="E72" s="72"/>
      <c r="F72" s="72"/>
      <c r="G72" s="72"/>
      <c r="H72" s="72"/>
      <c r="I72" s="72"/>
      <c r="J72" s="72"/>
      <c r="K72" s="72"/>
      <c r="L72" s="72"/>
      <c r="M72" s="220"/>
      <c r="N72" s="218"/>
      <c r="O72" s="189"/>
      <c r="P72" s="82"/>
      <c r="R72" s="30">
        <v>1</v>
      </c>
      <c r="S72" s="30">
        <v>2</v>
      </c>
      <c r="T72" s="30">
        <v>3</v>
      </c>
      <c r="U72" s="30">
        <v>4</v>
      </c>
      <c r="V72" s="30">
        <v>5</v>
      </c>
      <c r="W72" s="30">
        <v>6</v>
      </c>
      <c r="X72" s="30">
        <v>7</v>
      </c>
      <c r="Y72" s="30">
        <v>8</v>
      </c>
      <c r="Z72" s="30">
        <v>9</v>
      </c>
      <c r="AA72" s="30">
        <v>10</v>
      </c>
    </row>
    <row r="73" spans="1:30" ht="18" customHeight="1" x14ac:dyDescent="0.2">
      <c r="A73" s="77"/>
      <c r="B73" s="73" t="s">
        <v>29</v>
      </c>
      <c r="C73" s="75">
        <f>IFERROR((C65/$D$61)-C67,"")</f>
        <v>0.88073394495412838</v>
      </c>
      <c r="D73" s="75">
        <f t="shared" ref="D73:L73" si="15">IFERROR((D65/$D$61)-D67,"")</f>
        <v>0.1834862385321101</v>
      </c>
      <c r="E73" s="75">
        <f t="shared" si="15"/>
        <v>2.7522935779816512E-2</v>
      </c>
      <c r="F73" s="75">
        <f t="shared" si="15"/>
        <v>0.71559633027522929</v>
      </c>
      <c r="G73" s="75">
        <f t="shared" si="15"/>
        <v>0.19266055045871558</v>
      </c>
      <c r="H73" s="75">
        <f t="shared" si="15"/>
        <v>0</v>
      </c>
      <c r="I73" s="75">
        <f t="shared" si="15"/>
        <v>0</v>
      </c>
      <c r="J73" s="75">
        <f t="shared" si="15"/>
        <v>0</v>
      </c>
      <c r="K73" s="75">
        <f t="shared" si="15"/>
        <v>0</v>
      </c>
      <c r="L73" s="75">
        <f t="shared" si="15"/>
        <v>0</v>
      </c>
      <c r="M73" s="102" t="s">
        <v>54</v>
      </c>
      <c r="N73" s="103"/>
      <c r="O73" s="189"/>
      <c r="P73" s="82"/>
      <c r="Q73">
        <v>1</v>
      </c>
      <c r="R73" s="34" t="str">
        <f t="shared" ref="R73:AA73" si="16">IF($N$70&lt;&gt;0,IF($AB$58&gt;R$72,IF(R$57=R47,$Q73,"-"),"-"),"-")</f>
        <v>-</v>
      </c>
      <c r="S73" s="35" t="str">
        <f t="shared" si="16"/>
        <v>-</v>
      </c>
      <c r="T73" s="35" t="str">
        <f t="shared" si="16"/>
        <v>-</v>
      </c>
      <c r="U73" s="35" t="str">
        <f t="shared" si="16"/>
        <v>-</v>
      </c>
      <c r="V73" s="35" t="str">
        <f t="shared" si="16"/>
        <v>-</v>
      </c>
      <c r="W73" s="35" t="str">
        <f t="shared" si="16"/>
        <v>-</v>
      </c>
      <c r="X73" s="35" t="str">
        <f t="shared" si="16"/>
        <v>-</v>
      </c>
      <c r="Y73" s="35" t="str">
        <f t="shared" si="16"/>
        <v>-</v>
      </c>
      <c r="Z73" s="35" t="str">
        <f t="shared" si="16"/>
        <v>-</v>
      </c>
      <c r="AA73" s="36" t="str">
        <f t="shared" si="16"/>
        <v>-</v>
      </c>
      <c r="AB73" s="33">
        <f t="shared" ref="AB73:AB82" si="17">IF($I$43="OK",COUNTIF($R$73:$AA$82,Q73),"-")</f>
        <v>0</v>
      </c>
      <c r="AC73" s="45" t="str">
        <f>IF($M$78=0,"",IF(C78&gt;0,C32,""))</f>
        <v/>
      </c>
      <c r="AD73" s="46" t="str">
        <f>IF(AC73&lt;&gt;"",AC73,"")</f>
        <v/>
      </c>
    </row>
    <row r="74" spans="1:30" ht="18" customHeight="1" thickBot="1" x14ac:dyDescent="0.25">
      <c r="A74" s="77"/>
      <c r="B74" s="74"/>
      <c r="C74" s="76"/>
      <c r="D74" s="76"/>
      <c r="E74" s="76"/>
      <c r="F74" s="76"/>
      <c r="G74" s="76"/>
      <c r="H74" s="76"/>
      <c r="I74" s="76"/>
      <c r="J74" s="76"/>
      <c r="K74" s="76"/>
      <c r="L74" s="76"/>
      <c r="M74" s="104"/>
      <c r="N74" s="105"/>
      <c r="O74" s="189"/>
      <c r="P74" s="82"/>
      <c r="Q74">
        <v>2</v>
      </c>
      <c r="R74" s="37" t="str">
        <f t="shared" ref="R74:AA74" si="18">IF($N$70&lt;&gt;0,IF($AB$58&gt;R$72,IF(R$57=R48,$Q74,"-"),"-"),"-")</f>
        <v>-</v>
      </c>
      <c r="S74" s="30" t="str">
        <f t="shared" si="18"/>
        <v>-</v>
      </c>
      <c r="T74" s="30" t="str">
        <f t="shared" si="18"/>
        <v>-</v>
      </c>
      <c r="U74" s="30" t="str">
        <f t="shared" si="18"/>
        <v>-</v>
      </c>
      <c r="V74" s="30" t="str">
        <f t="shared" si="18"/>
        <v>-</v>
      </c>
      <c r="W74" s="30" t="str">
        <f t="shared" si="18"/>
        <v>-</v>
      </c>
      <c r="X74" s="30" t="str">
        <f t="shared" si="18"/>
        <v>-</v>
      </c>
      <c r="Y74" s="30" t="str">
        <f t="shared" si="18"/>
        <v>-</v>
      </c>
      <c r="Z74" s="30" t="str">
        <f t="shared" si="18"/>
        <v>-</v>
      </c>
      <c r="AA74" s="38" t="str">
        <f t="shared" si="18"/>
        <v>-</v>
      </c>
      <c r="AB74" s="42">
        <f t="shared" si="17"/>
        <v>0</v>
      </c>
      <c r="AC74" s="47" t="str">
        <f>IF($M$78=0,"",IF(D78&gt;0,C33,""))</f>
        <v/>
      </c>
      <c r="AD74" s="48" t="str">
        <f>IF(AC74="",AD73,CONCATENATE(AD73,IF(AD73="",""," - "),AC74))</f>
        <v/>
      </c>
    </row>
    <row r="75" spans="1:30" ht="18" customHeight="1" x14ac:dyDescent="0.2">
      <c r="A75" s="77"/>
      <c r="B75" s="191" t="s">
        <v>65</v>
      </c>
      <c r="C75" s="70">
        <f>IFERROR(IF($N$70=0,C67+C70,C67+AB73),0)</f>
        <v>1</v>
      </c>
      <c r="D75" s="70">
        <f>IFERROR(IF($N$70=0,D67+D70,D67+AB74),0)</f>
        <v>1</v>
      </c>
      <c r="E75" s="70">
        <f>IFERROR(IF($N$70=0,E67+E70,E67+AB75),0)</f>
        <v>0</v>
      </c>
      <c r="F75" s="70">
        <f>IFERROR(IF($N$70=0,F67+F70,F67+AB76),0)</f>
        <v>1</v>
      </c>
      <c r="G75" s="70">
        <f>IFERROR(IF($N$70=0,G67+G70,G67+AB77),0)</f>
        <v>0</v>
      </c>
      <c r="H75" s="70">
        <f>IFERROR(IF($N$70=0,H67+H70,H67+AB78),0)</f>
        <v>0</v>
      </c>
      <c r="I75" s="70">
        <f>IFERROR(IF($N$70=0,I67+I70,I67+AB79),0)</f>
        <v>0</v>
      </c>
      <c r="J75" s="70">
        <f>IFERROR(IF($N$70=0,J67+J70,J67+AB80),0)</f>
        <v>0</v>
      </c>
      <c r="K75" s="70">
        <f>IFERROR(IF($N$70=0,K67+K70,K67+AB81),0)</f>
        <v>0</v>
      </c>
      <c r="L75" s="70">
        <f>IFERROR(IF($N$70=0,L67+L70,L67+AB82),0)</f>
        <v>0</v>
      </c>
      <c r="M75" s="18">
        <f>SUM(C75:L77)</f>
        <v>3</v>
      </c>
      <c r="N75" s="221" t="str">
        <f>IF($I$43="OK",IF(N70=0,"OK","??"),"??")</f>
        <v>OK</v>
      </c>
      <c r="O75" s="189"/>
      <c r="P75" s="82"/>
      <c r="Q75">
        <v>3</v>
      </c>
      <c r="R75" s="37" t="str">
        <f t="shared" ref="R75:AA75" si="19">IF($N$70&lt;&gt;0,IF($AB$58&gt;R$72,IF(R$57=R49,$Q75,"-"),"-"),"-")</f>
        <v>-</v>
      </c>
      <c r="S75" s="30" t="str">
        <f t="shared" si="19"/>
        <v>-</v>
      </c>
      <c r="T75" s="30" t="str">
        <f t="shared" si="19"/>
        <v>-</v>
      </c>
      <c r="U75" s="30" t="str">
        <f t="shared" si="19"/>
        <v>-</v>
      </c>
      <c r="V75" s="30" t="str">
        <f t="shared" si="19"/>
        <v>-</v>
      </c>
      <c r="W75" s="30" t="str">
        <f t="shared" si="19"/>
        <v>-</v>
      </c>
      <c r="X75" s="30" t="str">
        <f t="shared" si="19"/>
        <v>-</v>
      </c>
      <c r="Y75" s="30" t="str">
        <f t="shared" si="19"/>
        <v>-</v>
      </c>
      <c r="Z75" s="30" t="str">
        <f t="shared" si="19"/>
        <v>-</v>
      </c>
      <c r="AA75" s="38" t="str">
        <f t="shared" si="19"/>
        <v>-</v>
      </c>
      <c r="AB75" s="42">
        <f t="shared" si="17"/>
        <v>0</v>
      </c>
      <c r="AC75" s="47" t="str">
        <f>IF($M$78=0,"",IF(E78&gt;0,C34,""))</f>
        <v/>
      </c>
      <c r="AD75" s="48" t="str">
        <f>IF(AC75="",AD74,CONCATENATE(AD74,IF(AD74="",""," - "),AC75))</f>
        <v/>
      </c>
    </row>
    <row r="76" spans="1:30" ht="18" customHeight="1" x14ac:dyDescent="0.2">
      <c r="A76" s="77"/>
      <c r="B76" s="192"/>
      <c r="C76" s="71"/>
      <c r="D76" s="71"/>
      <c r="E76" s="71"/>
      <c r="F76" s="71"/>
      <c r="G76" s="71"/>
      <c r="H76" s="71"/>
      <c r="I76" s="71"/>
      <c r="J76" s="71"/>
      <c r="K76" s="71"/>
      <c r="L76" s="71"/>
      <c r="M76" s="93" t="str">
        <f>IF(OR(M75=0,M75&gt;1),"Seggi 
attribuiti","Seggio 
attribuito")</f>
        <v>Seggi 
attribuiti</v>
      </c>
      <c r="N76" s="222"/>
      <c r="O76" s="189"/>
      <c r="P76" s="82"/>
      <c r="Q76">
        <v>4</v>
      </c>
      <c r="R76" s="37" t="str">
        <f t="shared" ref="R76:AA76" si="20">IF($N$70&lt;&gt;0,IF($AB$58&gt;R$72,IF(R$57=R50,$Q76,"-"),"-"),"-")</f>
        <v>-</v>
      </c>
      <c r="S76" s="30" t="str">
        <f t="shared" si="20"/>
        <v>-</v>
      </c>
      <c r="T76" s="30" t="str">
        <f t="shared" si="20"/>
        <v>-</v>
      </c>
      <c r="U76" s="30" t="str">
        <f t="shared" si="20"/>
        <v>-</v>
      </c>
      <c r="V76" s="30" t="str">
        <f t="shared" si="20"/>
        <v>-</v>
      </c>
      <c r="W76" s="30" t="str">
        <f t="shared" si="20"/>
        <v>-</v>
      </c>
      <c r="X76" s="30" t="str">
        <f t="shared" si="20"/>
        <v>-</v>
      </c>
      <c r="Y76" s="30" t="str">
        <f t="shared" si="20"/>
        <v>-</v>
      </c>
      <c r="Z76" s="30" t="str">
        <f t="shared" si="20"/>
        <v>-</v>
      </c>
      <c r="AA76" s="38" t="str">
        <f t="shared" si="20"/>
        <v>-</v>
      </c>
      <c r="AB76" s="42">
        <f t="shared" si="17"/>
        <v>0</v>
      </c>
      <c r="AC76" s="47" t="str">
        <f>IF($M$78=0,"",IF(F78&gt;0,C35,""))</f>
        <v/>
      </c>
      <c r="AD76" s="48" t="str">
        <f>IF(AC76="",AD75,CONCATENATE(AD75,IF(AD75="",""," - "),AC76))</f>
        <v/>
      </c>
    </row>
    <row r="77" spans="1:30" ht="18" customHeight="1" thickBot="1" x14ac:dyDescent="0.25">
      <c r="A77" s="77"/>
      <c r="B77" s="193"/>
      <c r="C77" s="72"/>
      <c r="D77" s="72"/>
      <c r="E77" s="72"/>
      <c r="F77" s="72"/>
      <c r="G77" s="72"/>
      <c r="H77" s="72"/>
      <c r="I77" s="72"/>
      <c r="J77" s="72"/>
      <c r="K77" s="72"/>
      <c r="L77" s="72"/>
      <c r="M77" s="94"/>
      <c r="N77" s="222"/>
      <c r="O77" s="189"/>
      <c r="P77" s="82"/>
      <c r="Q77">
        <v>5</v>
      </c>
      <c r="R77" s="37" t="str">
        <f t="shared" ref="R77:AA77" si="21">IF($N$70&lt;&gt;0,IF($AB$58&gt;R$72,IF(R$57=R51,$Q77,"-"),"-"),"-")</f>
        <v>-</v>
      </c>
      <c r="S77" s="30" t="str">
        <f t="shared" si="21"/>
        <v>-</v>
      </c>
      <c r="T77" s="30" t="str">
        <f t="shared" si="21"/>
        <v>-</v>
      </c>
      <c r="U77" s="30" t="str">
        <f t="shared" si="21"/>
        <v>-</v>
      </c>
      <c r="V77" s="30" t="str">
        <f t="shared" si="21"/>
        <v>-</v>
      </c>
      <c r="W77" s="30" t="str">
        <f t="shared" si="21"/>
        <v>-</v>
      </c>
      <c r="X77" s="30" t="str">
        <f t="shared" si="21"/>
        <v>-</v>
      </c>
      <c r="Y77" s="30" t="str">
        <f t="shared" si="21"/>
        <v>-</v>
      </c>
      <c r="Z77" s="30" t="str">
        <f t="shared" si="21"/>
        <v>-</v>
      </c>
      <c r="AA77" s="38" t="str">
        <f t="shared" si="21"/>
        <v>-</v>
      </c>
      <c r="AB77" s="42">
        <f t="shared" si="17"/>
        <v>0</v>
      </c>
      <c r="AC77" s="47" t="str">
        <f>IF($M$78=0,"",IF(G78&gt;0,C36,""))</f>
        <v/>
      </c>
      <c r="AD77" s="48" t="str">
        <f t="shared" ref="AD77:AD81" si="22">IF(AC77="",AD76,CONCATENATE(AD76,IF(AD76="",""," - "),AC77))</f>
        <v/>
      </c>
    </row>
    <row r="78" spans="1:30" ht="18" customHeight="1" x14ac:dyDescent="0.2">
      <c r="A78" s="77"/>
      <c r="B78" s="191" t="s">
        <v>61</v>
      </c>
      <c r="C78" s="70" t="str">
        <f t="shared" ref="C78:L78" si="23">IF($M$78=0,"-",C67+C70-C75)</f>
        <v>-</v>
      </c>
      <c r="D78" s="70" t="str">
        <f t="shared" si="23"/>
        <v>-</v>
      </c>
      <c r="E78" s="70" t="str">
        <f t="shared" si="23"/>
        <v>-</v>
      </c>
      <c r="F78" s="70" t="str">
        <f t="shared" si="23"/>
        <v>-</v>
      </c>
      <c r="G78" s="70" t="str">
        <f t="shared" si="23"/>
        <v>-</v>
      </c>
      <c r="H78" s="70" t="str">
        <f t="shared" si="23"/>
        <v>-</v>
      </c>
      <c r="I78" s="70" t="str">
        <f t="shared" si="23"/>
        <v>-</v>
      </c>
      <c r="J78" s="70" t="str">
        <f t="shared" si="23"/>
        <v>-</v>
      </c>
      <c r="K78" s="70" t="str">
        <f t="shared" si="23"/>
        <v>-</v>
      </c>
      <c r="L78" s="224" t="str">
        <f t="shared" si="23"/>
        <v>-</v>
      </c>
      <c r="M78" s="53">
        <f>J26-M75</f>
        <v>0</v>
      </c>
      <c r="N78" s="222"/>
      <c r="O78" s="189"/>
      <c r="P78" s="82"/>
      <c r="Q78">
        <v>6</v>
      </c>
      <c r="R78" s="37" t="str">
        <f t="shared" ref="R78:AA78" si="24">IF($N$70&lt;&gt;0,IF($AB$58&gt;R$72,IF(R$57=R52,$Q78,"-"),"-"),"-")</f>
        <v>-</v>
      </c>
      <c r="S78" s="30" t="str">
        <f t="shared" si="24"/>
        <v>-</v>
      </c>
      <c r="T78" s="30" t="str">
        <f t="shared" si="24"/>
        <v>-</v>
      </c>
      <c r="U78" s="30" t="str">
        <f t="shared" si="24"/>
        <v>-</v>
      </c>
      <c r="V78" s="30" t="str">
        <f t="shared" si="24"/>
        <v>-</v>
      </c>
      <c r="W78" s="30" t="str">
        <f t="shared" si="24"/>
        <v>-</v>
      </c>
      <c r="X78" s="30" t="str">
        <f t="shared" si="24"/>
        <v>-</v>
      </c>
      <c r="Y78" s="30" t="str">
        <f t="shared" si="24"/>
        <v>-</v>
      </c>
      <c r="Z78" s="30" t="str">
        <f t="shared" si="24"/>
        <v>-</v>
      </c>
      <c r="AA78" s="38" t="str">
        <f t="shared" si="24"/>
        <v>-</v>
      </c>
      <c r="AB78" s="42">
        <f t="shared" si="17"/>
        <v>0</v>
      </c>
      <c r="AC78" s="47" t="str">
        <f>IF($M$78=0,"",IF(H78&gt;0,C37,""))</f>
        <v/>
      </c>
      <c r="AD78" s="48" t="str">
        <f t="shared" si="22"/>
        <v/>
      </c>
    </row>
    <row r="79" spans="1:30" ht="18" customHeight="1" x14ac:dyDescent="0.2">
      <c r="A79" s="77"/>
      <c r="B79" s="192"/>
      <c r="C79" s="71"/>
      <c r="D79" s="71"/>
      <c r="E79" s="71"/>
      <c r="F79" s="71"/>
      <c r="G79" s="71"/>
      <c r="H79" s="71"/>
      <c r="I79" s="71"/>
      <c r="J79" s="71"/>
      <c r="K79" s="71"/>
      <c r="L79" s="225"/>
      <c r="M79" s="93" t="str">
        <f>IF(OR(M78=0,M78&gt;1),"Seggi da assegnare manualmente","Seggio da assegnare manualmente")</f>
        <v>Seggi da assegnare manualmente</v>
      </c>
      <c r="N79" s="222"/>
      <c r="O79" s="189"/>
      <c r="P79" s="82"/>
      <c r="Q79">
        <v>7</v>
      </c>
      <c r="R79" s="37" t="str">
        <f t="shared" ref="R79:AA79" si="25">IF($N$70&lt;&gt;0,IF($AB$58&gt;R$72,IF(R$57=R53,$Q79,"-"),"-"),"-")</f>
        <v>-</v>
      </c>
      <c r="S79" s="30" t="str">
        <f t="shared" si="25"/>
        <v>-</v>
      </c>
      <c r="T79" s="30" t="str">
        <f t="shared" si="25"/>
        <v>-</v>
      </c>
      <c r="U79" s="30" t="str">
        <f t="shared" si="25"/>
        <v>-</v>
      </c>
      <c r="V79" s="30" t="str">
        <f t="shared" si="25"/>
        <v>-</v>
      </c>
      <c r="W79" s="30" t="str">
        <f t="shared" si="25"/>
        <v>-</v>
      </c>
      <c r="X79" s="30" t="str">
        <f t="shared" si="25"/>
        <v>-</v>
      </c>
      <c r="Y79" s="30" t="str">
        <f t="shared" si="25"/>
        <v>-</v>
      </c>
      <c r="Z79" s="30" t="str">
        <f t="shared" si="25"/>
        <v>-</v>
      </c>
      <c r="AA79" s="38" t="str">
        <f t="shared" si="25"/>
        <v>-</v>
      </c>
      <c r="AB79" s="42">
        <f t="shared" si="17"/>
        <v>0</v>
      </c>
      <c r="AC79" s="47" t="str">
        <f>IF($M$78=0,"",IF(I78&gt;0,C38,""))</f>
        <v/>
      </c>
      <c r="AD79" s="48" t="str">
        <f t="shared" si="22"/>
        <v/>
      </c>
    </row>
    <row r="80" spans="1:30" ht="18" customHeight="1" thickBot="1" x14ac:dyDescent="0.25">
      <c r="A80" s="77"/>
      <c r="B80" s="193"/>
      <c r="C80" s="72"/>
      <c r="D80" s="72"/>
      <c r="E80" s="72"/>
      <c r="F80" s="72"/>
      <c r="G80" s="72"/>
      <c r="H80" s="72"/>
      <c r="I80" s="72"/>
      <c r="J80" s="72"/>
      <c r="K80" s="72"/>
      <c r="L80" s="226"/>
      <c r="M80" s="94"/>
      <c r="N80" s="223"/>
      <c r="O80" s="190"/>
      <c r="P80" s="82"/>
      <c r="Q80">
        <v>8</v>
      </c>
      <c r="R80" s="37" t="str">
        <f t="shared" ref="R80:AA80" si="26">IF($N$70&lt;&gt;0,IF($AB$58&gt;R$72,IF(R$57=R54,$Q80,"-"),"-"),"-")</f>
        <v>-</v>
      </c>
      <c r="S80" s="30" t="str">
        <f t="shared" si="26"/>
        <v>-</v>
      </c>
      <c r="T80" s="30" t="str">
        <f t="shared" si="26"/>
        <v>-</v>
      </c>
      <c r="U80" s="30" t="str">
        <f t="shared" si="26"/>
        <v>-</v>
      </c>
      <c r="V80" s="30" t="str">
        <f t="shared" si="26"/>
        <v>-</v>
      </c>
      <c r="W80" s="30" t="str">
        <f t="shared" si="26"/>
        <v>-</v>
      </c>
      <c r="X80" s="30" t="str">
        <f t="shared" si="26"/>
        <v>-</v>
      </c>
      <c r="Y80" s="30" t="str">
        <f t="shared" si="26"/>
        <v>-</v>
      </c>
      <c r="Z80" s="30" t="str">
        <f t="shared" si="26"/>
        <v>-</v>
      </c>
      <c r="AA80" s="38" t="str">
        <f t="shared" si="26"/>
        <v>-</v>
      </c>
      <c r="AB80" s="42">
        <f t="shared" si="17"/>
        <v>0</v>
      </c>
      <c r="AC80" s="47" t="str">
        <f>IF($M$78=0,"",IF(J78&gt;0,C39,""))</f>
        <v/>
      </c>
      <c r="AD80" s="48" t="str">
        <f t="shared" si="22"/>
        <v/>
      </c>
    </row>
    <row r="81" spans="1:30" ht="18" customHeight="1" x14ac:dyDescent="0.2">
      <c r="A81" s="77"/>
      <c r="B81" s="77"/>
      <c r="C81" s="77"/>
      <c r="D81" s="77"/>
      <c r="E81" s="77"/>
      <c r="F81" s="77"/>
      <c r="G81" s="77"/>
      <c r="H81" s="77"/>
      <c r="I81" s="77"/>
      <c r="J81" s="77"/>
      <c r="K81" s="77"/>
      <c r="L81" s="77"/>
      <c r="M81" s="77"/>
      <c r="N81" s="77"/>
      <c r="O81" s="77"/>
      <c r="P81" s="82"/>
      <c r="Q81">
        <v>9</v>
      </c>
      <c r="R81" s="37" t="str">
        <f t="shared" ref="R81:AA81" si="27">IF($N$70&lt;&gt;0,IF($AB$58&gt;R$72,IF(R$57=R55,$Q81,"-"),"-"),"-")</f>
        <v>-</v>
      </c>
      <c r="S81" s="30" t="str">
        <f t="shared" si="27"/>
        <v>-</v>
      </c>
      <c r="T81" s="30" t="str">
        <f t="shared" si="27"/>
        <v>-</v>
      </c>
      <c r="U81" s="30" t="str">
        <f t="shared" si="27"/>
        <v>-</v>
      </c>
      <c r="V81" s="30" t="str">
        <f t="shared" si="27"/>
        <v>-</v>
      </c>
      <c r="W81" s="30" t="str">
        <f t="shared" si="27"/>
        <v>-</v>
      </c>
      <c r="X81" s="30" t="str">
        <f t="shared" si="27"/>
        <v>-</v>
      </c>
      <c r="Y81" s="30" t="str">
        <f t="shared" si="27"/>
        <v>-</v>
      </c>
      <c r="Z81" s="30" t="str">
        <f t="shared" si="27"/>
        <v>-</v>
      </c>
      <c r="AA81" s="38" t="str">
        <f t="shared" si="27"/>
        <v>-</v>
      </c>
      <c r="AB81" s="42">
        <f t="shared" si="17"/>
        <v>0</v>
      </c>
      <c r="AC81" s="47" t="str">
        <f>IF($M$78=0,"",IF(K78&gt;0,C40,""))</f>
        <v/>
      </c>
      <c r="AD81" s="48" t="str">
        <f t="shared" si="22"/>
        <v/>
      </c>
    </row>
    <row r="82" spans="1:30" ht="18" customHeight="1" x14ac:dyDescent="0.2">
      <c r="A82" s="77"/>
      <c r="B82" s="133" t="str">
        <f>IF(M78=0,"",N75)</f>
        <v/>
      </c>
      <c r="C82" s="134" t="str">
        <f>IF(M78=0,"",IF(B82="OK","OPERAZIONI CONCLUSE: tutti i seggi sono stati assegnati",CONCATENATE("ATTENZIONE: verifica la correttezza di tutti i dati inseriti nelle righe verdi; 
se i dati sono corretti e non sono stati assegnati seggi pari al numero delle RSU da eleggere 
(risulterebbero n. ",M78," seggi da attribuire tra le liste ",AD82,")","
si dovrà procedere con i seguenti passaggi da eseguire manualmente, in ordine:")))</f>
        <v/>
      </c>
      <c r="D82" s="134"/>
      <c r="E82" s="134"/>
      <c r="F82" s="134"/>
      <c r="G82" s="134"/>
      <c r="H82" s="134"/>
      <c r="I82" s="134"/>
      <c r="J82" s="134"/>
      <c r="K82" s="134"/>
      <c r="L82" s="134"/>
      <c r="M82" s="134"/>
      <c r="N82" s="134"/>
      <c r="O82" s="134"/>
      <c r="P82" s="82"/>
      <c r="Q82">
        <v>10</v>
      </c>
      <c r="R82" s="39" t="str">
        <f t="shared" ref="R82:AA82" si="28">IF($N$70&lt;&gt;0,IF($AB$58&gt;R$72,IF(R$57=R56,$Q82,"-"),"-"),"-")</f>
        <v>-</v>
      </c>
      <c r="S82" s="40" t="str">
        <f t="shared" si="28"/>
        <v>-</v>
      </c>
      <c r="T82" s="40" t="str">
        <f t="shared" si="28"/>
        <v>-</v>
      </c>
      <c r="U82" s="40" t="str">
        <f t="shared" si="28"/>
        <v>-</v>
      </c>
      <c r="V82" s="40" t="str">
        <f t="shared" si="28"/>
        <v>-</v>
      </c>
      <c r="W82" s="40" t="str">
        <f t="shared" si="28"/>
        <v>-</v>
      </c>
      <c r="X82" s="40" t="str">
        <f t="shared" si="28"/>
        <v>-</v>
      </c>
      <c r="Y82" s="40" t="str">
        <f t="shared" si="28"/>
        <v>-</v>
      </c>
      <c r="Z82" s="40" t="str">
        <f t="shared" si="28"/>
        <v>-</v>
      </c>
      <c r="AA82" s="41" t="str">
        <f t="shared" si="28"/>
        <v>-</v>
      </c>
      <c r="AB82" s="43">
        <f t="shared" si="17"/>
        <v>0</v>
      </c>
      <c r="AC82" s="49" t="str">
        <f>IF($M$78=0,"",IF(L78&gt;0,C41,""))</f>
        <v/>
      </c>
      <c r="AD82" s="50" t="str">
        <f>IF(AC82="",AD81,CONCATENATE(AD81,IF(AD81="",""," - "),AC82))</f>
        <v/>
      </c>
    </row>
    <row r="83" spans="1:30" ht="18" customHeight="1" x14ac:dyDescent="0.2">
      <c r="A83" s="77"/>
      <c r="B83" s="133"/>
      <c r="C83" s="134"/>
      <c r="D83" s="134"/>
      <c r="E83" s="134"/>
      <c r="F83" s="134"/>
      <c r="G83" s="134"/>
      <c r="H83" s="134"/>
      <c r="I83" s="134"/>
      <c r="J83" s="134"/>
      <c r="K83" s="134"/>
      <c r="L83" s="134"/>
      <c r="M83" s="134"/>
      <c r="N83" s="134"/>
      <c r="O83" s="134"/>
      <c r="P83" s="82"/>
      <c r="R83" s="30"/>
      <c r="S83" s="30"/>
      <c r="T83" s="30"/>
      <c r="U83" s="30"/>
      <c r="V83" s="30"/>
      <c r="W83" s="30"/>
      <c r="X83" s="30"/>
      <c r="Y83" s="30"/>
      <c r="Z83" s="30"/>
      <c r="AA83" s="30"/>
      <c r="AB83" s="30"/>
      <c r="AC83" s="44"/>
    </row>
    <row r="84" spans="1:30" ht="18" customHeight="1" x14ac:dyDescent="0.2">
      <c r="A84" s="77"/>
      <c r="B84" s="133"/>
      <c r="C84" s="134"/>
      <c r="D84" s="134"/>
      <c r="E84" s="134"/>
      <c r="F84" s="134"/>
      <c r="G84" s="134"/>
      <c r="H84" s="134"/>
      <c r="I84" s="134"/>
      <c r="J84" s="134"/>
      <c r="K84" s="134"/>
      <c r="L84" s="134"/>
      <c r="M84" s="134"/>
      <c r="N84" s="134"/>
      <c r="O84" s="134"/>
      <c r="P84" s="82"/>
    </row>
    <row r="85" spans="1:30" ht="15" customHeight="1" x14ac:dyDescent="0.2">
      <c r="A85" s="77"/>
      <c r="B85" s="133"/>
      <c r="C85" s="134"/>
      <c r="D85" s="134"/>
      <c r="E85" s="134"/>
      <c r="F85" s="134"/>
      <c r="G85" s="134"/>
      <c r="H85" s="134"/>
      <c r="I85" s="134"/>
      <c r="J85" s="134"/>
      <c r="K85" s="134"/>
      <c r="L85" s="134"/>
      <c r="M85" s="134"/>
      <c r="N85" s="134"/>
      <c r="O85" s="134"/>
      <c r="P85" s="82"/>
    </row>
    <row r="86" spans="1:30" ht="15" customHeight="1" x14ac:dyDescent="0.2">
      <c r="A86" s="77"/>
      <c r="B86" s="86" t="s">
        <v>66</v>
      </c>
      <c r="C86" s="106" t="s">
        <v>58</v>
      </c>
      <c r="D86" s="106"/>
      <c r="E86" s="106"/>
      <c r="F86" s="106"/>
      <c r="G86" s="106"/>
      <c r="H86" s="106"/>
      <c r="I86" s="106"/>
      <c r="J86" s="106"/>
      <c r="K86" s="106"/>
      <c r="L86" s="106"/>
      <c r="M86" s="106"/>
      <c r="N86" s="106"/>
      <c r="O86" s="106"/>
      <c r="P86" s="82"/>
    </row>
    <row r="87" spans="1:30" ht="15" customHeight="1" x14ac:dyDescent="0.2">
      <c r="A87" s="77"/>
      <c r="B87" s="87"/>
      <c r="C87" s="106"/>
      <c r="D87" s="106"/>
      <c r="E87" s="106"/>
      <c r="F87" s="106"/>
      <c r="G87" s="106"/>
      <c r="H87" s="106"/>
      <c r="I87" s="106"/>
      <c r="J87" s="106"/>
      <c r="K87" s="106"/>
      <c r="L87" s="106"/>
      <c r="M87" s="106"/>
      <c r="N87" s="106"/>
      <c r="O87" s="106"/>
      <c r="P87" s="82"/>
    </row>
    <row r="88" spans="1:30" ht="15" customHeight="1" x14ac:dyDescent="0.2">
      <c r="A88" s="77"/>
      <c r="B88" s="87"/>
      <c r="C88" s="106"/>
      <c r="D88" s="106"/>
      <c r="E88" s="106"/>
      <c r="F88" s="106"/>
      <c r="G88" s="106"/>
      <c r="H88" s="106"/>
      <c r="I88" s="106"/>
      <c r="J88" s="106"/>
      <c r="K88" s="106"/>
      <c r="L88" s="106"/>
      <c r="M88" s="106"/>
      <c r="N88" s="106"/>
      <c r="O88" s="106"/>
      <c r="P88" s="82"/>
    </row>
    <row r="89" spans="1:30" ht="15" customHeight="1" x14ac:dyDescent="0.2">
      <c r="A89" s="77"/>
      <c r="B89" s="86" t="s">
        <v>67</v>
      </c>
      <c r="C89" s="106" t="s">
        <v>60</v>
      </c>
      <c r="D89" s="106"/>
      <c r="E89" s="106"/>
      <c r="F89" s="106"/>
      <c r="G89" s="106"/>
      <c r="H89" s="106"/>
      <c r="I89" s="106"/>
      <c r="J89" s="106"/>
      <c r="K89" s="106"/>
      <c r="L89" s="106"/>
      <c r="M89" s="106"/>
      <c r="N89" s="106"/>
      <c r="O89" s="106"/>
      <c r="P89" s="82"/>
    </row>
    <row r="90" spans="1:30" ht="15" customHeight="1" x14ac:dyDescent="0.2">
      <c r="A90" s="77"/>
      <c r="B90" s="87"/>
      <c r="C90" s="106"/>
      <c r="D90" s="106"/>
      <c r="E90" s="106"/>
      <c r="F90" s="106"/>
      <c r="G90" s="106"/>
      <c r="H90" s="106"/>
      <c r="I90" s="106"/>
      <c r="J90" s="106"/>
      <c r="K90" s="106"/>
      <c r="L90" s="106"/>
      <c r="M90" s="106"/>
      <c r="N90" s="106"/>
      <c r="O90" s="106"/>
      <c r="P90" s="82"/>
    </row>
    <row r="91" spans="1:30" ht="15" customHeight="1" x14ac:dyDescent="0.2">
      <c r="A91" s="77"/>
      <c r="B91" s="87"/>
      <c r="C91" s="106"/>
      <c r="D91" s="106"/>
      <c r="E91" s="106"/>
      <c r="F91" s="106"/>
      <c r="G91" s="106"/>
      <c r="H91" s="106"/>
      <c r="I91" s="106"/>
      <c r="J91" s="106"/>
      <c r="K91" s="106"/>
      <c r="L91" s="106"/>
      <c r="M91" s="106"/>
      <c r="N91" s="106"/>
      <c r="O91" s="106"/>
      <c r="P91" s="82"/>
    </row>
    <row r="92" spans="1:30" ht="15" customHeight="1" x14ac:dyDescent="0.2">
      <c r="A92" s="77"/>
      <c r="B92" s="86" t="s">
        <v>68</v>
      </c>
      <c r="C92" s="107" t="s">
        <v>59</v>
      </c>
      <c r="D92" s="107"/>
      <c r="E92" s="107"/>
      <c r="F92" s="107"/>
      <c r="G92" s="107"/>
      <c r="H92" s="107"/>
      <c r="I92" s="107"/>
      <c r="J92" s="107"/>
      <c r="K92" s="107"/>
      <c r="L92" s="107"/>
      <c r="M92" s="107"/>
      <c r="N92" s="107"/>
      <c r="O92" s="107"/>
      <c r="P92" s="82"/>
    </row>
    <row r="93" spans="1:30" ht="15.95" customHeight="1" x14ac:dyDescent="0.2">
      <c r="A93" s="77"/>
      <c r="B93" s="87"/>
      <c r="C93" s="107"/>
      <c r="D93" s="107"/>
      <c r="E93" s="107"/>
      <c r="F93" s="107"/>
      <c r="G93" s="107"/>
      <c r="H93" s="107"/>
      <c r="I93" s="107"/>
      <c r="J93" s="107"/>
      <c r="K93" s="107"/>
      <c r="L93" s="107"/>
      <c r="M93" s="107"/>
      <c r="N93" s="107"/>
      <c r="O93" s="107"/>
      <c r="P93" s="82"/>
    </row>
    <row r="94" spans="1:30" ht="15.95" customHeight="1" x14ac:dyDescent="0.2">
      <c r="B94" s="77"/>
      <c r="C94" s="77"/>
      <c r="D94" s="77"/>
      <c r="E94" s="77"/>
      <c r="F94" s="77"/>
      <c r="G94" s="77"/>
      <c r="H94" s="77"/>
      <c r="I94" s="77"/>
      <c r="J94" s="77"/>
      <c r="K94" s="77"/>
      <c r="L94" s="77"/>
      <c r="M94" s="77"/>
      <c r="N94" s="77"/>
      <c r="O94" s="77"/>
    </row>
  </sheetData>
  <sheetProtection algorithmName="SHA-512" hashValue="c7M3KYHxdSy24L2gVTikw0gDCwZAHs3Fqz5+iH+qRs47nI/BMeNsKih2pSTQoxV0iDmZ5UgMFN7E1oSN6WE0Qg==" saltValue="1g2ykpdIFIy1uvYKFzjD+w==" spinCount="100000" sheet="1" objects="1" scenarios="1" selectLockedCells="1"/>
  <mergeCells count="220">
    <mergeCell ref="M71:M72"/>
    <mergeCell ref="M76:M77"/>
    <mergeCell ref="M79:M80"/>
    <mergeCell ref="J75:J77"/>
    <mergeCell ref="K75:K77"/>
    <mergeCell ref="L75:L77"/>
    <mergeCell ref="N75:N80"/>
    <mergeCell ref="K78:K80"/>
    <mergeCell ref="L78:L80"/>
    <mergeCell ref="B24:O24"/>
    <mergeCell ref="B70:B72"/>
    <mergeCell ref="B75:B77"/>
    <mergeCell ref="F70:F72"/>
    <mergeCell ref="E70:E72"/>
    <mergeCell ref="G67:G69"/>
    <mergeCell ref="H67:H69"/>
    <mergeCell ref="B49:C49"/>
    <mergeCell ref="B51:C51"/>
    <mergeCell ref="C33:H33"/>
    <mergeCell ref="B48:C48"/>
    <mergeCell ref="C34:H34"/>
    <mergeCell ref="L70:L72"/>
    <mergeCell ref="D73:D74"/>
    <mergeCell ref="E73:E74"/>
    <mergeCell ref="C58:D59"/>
    <mergeCell ref="E51:I51"/>
    <mergeCell ref="K70:K72"/>
    <mergeCell ref="C31:H31"/>
    <mergeCell ref="C32:H32"/>
    <mergeCell ref="B61:C61"/>
    <mergeCell ref="N71:N72"/>
    <mergeCell ref="N68:N69"/>
    <mergeCell ref="M68:M69"/>
    <mergeCell ref="B65:B66"/>
    <mergeCell ref="C65:C66"/>
    <mergeCell ref="D65:D66"/>
    <mergeCell ref="C35:H35"/>
    <mergeCell ref="J70:J72"/>
    <mergeCell ref="I70:I72"/>
    <mergeCell ref="B58:B59"/>
    <mergeCell ref="C56:D57"/>
    <mergeCell ref="C67:C69"/>
    <mergeCell ref="D67:D69"/>
    <mergeCell ref="E67:E69"/>
    <mergeCell ref="H70:H72"/>
    <mergeCell ref="C70:C72"/>
    <mergeCell ref="D70:D72"/>
    <mergeCell ref="G70:G72"/>
    <mergeCell ref="C36:H36"/>
    <mergeCell ref="C37:H37"/>
    <mergeCell ref="B50:C50"/>
    <mergeCell ref="C38:H38"/>
    <mergeCell ref="C39:H39"/>
    <mergeCell ref="C54:D55"/>
    <mergeCell ref="E56:O57"/>
    <mergeCell ref="E54:O55"/>
    <mergeCell ref="B53:O53"/>
    <mergeCell ref="B60:O60"/>
    <mergeCell ref="E61:H61"/>
    <mergeCell ref="C63:C64"/>
    <mergeCell ref="D63:D64"/>
    <mergeCell ref="E63:E64"/>
    <mergeCell ref="F63:F64"/>
    <mergeCell ref="G63:G64"/>
    <mergeCell ref="H63:H64"/>
    <mergeCell ref="I63:I64"/>
    <mergeCell ref="J63:J64"/>
    <mergeCell ref="K63:K64"/>
    <mergeCell ref="L63:L64"/>
    <mergeCell ref="B52:O52"/>
    <mergeCell ref="C40:H40"/>
    <mergeCell ref="C41:H41"/>
    <mergeCell ref="I67:I69"/>
    <mergeCell ref="J67:J69"/>
    <mergeCell ref="K67:K69"/>
    <mergeCell ref="E58:O59"/>
    <mergeCell ref="F67:F69"/>
    <mergeCell ref="B54:B55"/>
    <mergeCell ref="B56:B57"/>
    <mergeCell ref="B62:O62"/>
    <mergeCell ref="L67:L69"/>
    <mergeCell ref="K43:O43"/>
    <mergeCell ref="O67:O80"/>
    <mergeCell ref="B78:B80"/>
    <mergeCell ref="C78:C80"/>
    <mergeCell ref="D78:D80"/>
    <mergeCell ref="E78:E80"/>
    <mergeCell ref="F78:F80"/>
    <mergeCell ref="G78:G80"/>
    <mergeCell ref="H78:H80"/>
    <mergeCell ref="B67:B69"/>
    <mergeCell ref="I73:I74"/>
    <mergeCell ref="H73:H74"/>
    <mergeCell ref="B15:B17"/>
    <mergeCell ref="B7:D7"/>
    <mergeCell ref="I5:J5"/>
    <mergeCell ref="C15:C17"/>
    <mergeCell ref="G15:G17"/>
    <mergeCell ref="I13:J13"/>
    <mergeCell ref="E13:F13"/>
    <mergeCell ref="I11:J11"/>
    <mergeCell ref="K5:O5"/>
    <mergeCell ref="L11:O11"/>
    <mergeCell ref="M15:M17"/>
    <mergeCell ref="L15:L17"/>
    <mergeCell ref="J15:J17"/>
    <mergeCell ref="D15:D17"/>
    <mergeCell ref="E15:E17"/>
    <mergeCell ref="F15:F17"/>
    <mergeCell ref="H15:H17"/>
    <mergeCell ref="I15:I17"/>
    <mergeCell ref="C13:D13"/>
    <mergeCell ref="L18:L20"/>
    <mergeCell ref="E7:J7"/>
    <mergeCell ref="L7:O7"/>
    <mergeCell ref="N15:O17"/>
    <mergeCell ref="N13:O14"/>
    <mergeCell ref="G5:H5"/>
    <mergeCell ref="C11:G11"/>
    <mergeCell ref="G13:H13"/>
    <mergeCell ref="E5:F5"/>
    <mergeCell ref="K15:K17"/>
    <mergeCell ref="K13:L13"/>
    <mergeCell ref="B81:O81"/>
    <mergeCell ref="B82:B85"/>
    <mergeCell ref="C82:O85"/>
    <mergeCell ref="M13:M14"/>
    <mergeCell ref="B26:B29"/>
    <mergeCell ref="B18:B20"/>
    <mergeCell ref="C2:M3"/>
    <mergeCell ref="N2:O2"/>
    <mergeCell ref="B21:B22"/>
    <mergeCell ref="C9:O9"/>
    <mergeCell ref="B13:B14"/>
    <mergeCell ref="B2:B3"/>
    <mergeCell ref="B4:O4"/>
    <mergeCell ref="B6:O6"/>
    <mergeCell ref="B8:O8"/>
    <mergeCell ref="B10:O10"/>
    <mergeCell ref="B23:O23"/>
    <mergeCell ref="B25:O25"/>
    <mergeCell ref="B45:O45"/>
    <mergeCell ref="B47:O47"/>
    <mergeCell ref="N3:O3"/>
    <mergeCell ref="J26:J29"/>
    <mergeCell ref="K26:L29"/>
    <mergeCell ref="D18:D20"/>
    <mergeCell ref="B94:O94"/>
    <mergeCell ref="A2:A93"/>
    <mergeCell ref="J51:O51"/>
    <mergeCell ref="E48:O50"/>
    <mergeCell ref="J61:O61"/>
    <mergeCell ref="M63:O63"/>
    <mergeCell ref="M73:N74"/>
    <mergeCell ref="C86:O88"/>
    <mergeCell ref="C89:O91"/>
    <mergeCell ref="C92:O93"/>
    <mergeCell ref="B12:O12"/>
    <mergeCell ref="E26:E29"/>
    <mergeCell ref="G26:I29"/>
    <mergeCell ref="B30:J30"/>
    <mergeCell ref="O18:O20"/>
    <mergeCell ref="N21:O22"/>
    <mergeCell ref="G21:G22"/>
    <mergeCell ref="H21:H22"/>
    <mergeCell ref="I21:I22"/>
    <mergeCell ref="J21:J22"/>
    <mergeCell ref="K21:K22"/>
    <mergeCell ref="N18:N20"/>
    <mergeCell ref="K18:K20"/>
    <mergeCell ref="M21:M22"/>
    <mergeCell ref="A1:P1"/>
    <mergeCell ref="B43:H43"/>
    <mergeCell ref="B42:G42"/>
    <mergeCell ref="B46:O46"/>
    <mergeCell ref="B44:O44"/>
    <mergeCell ref="P2:P93"/>
    <mergeCell ref="K31:L42"/>
    <mergeCell ref="M26:O42"/>
    <mergeCell ref="B86:B88"/>
    <mergeCell ref="B89:B91"/>
    <mergeCell ref="B92:B93"/>
    <mergeCell ref="L21:L22"/>
    <mergeCell ref="C21:C22"/>
    <mergeCell ref="D21:D22"/>
    <mergeCell ref="E21:E22"/>
    <mergeCell ref="F21:F22"/>
    <mergeCell ref="M18:M20"/>
    <mergeCell ref="J18:J20"/>
    <mergeCell ref="F18:F20"/>
    <mergeCell ref="G18:G20"/>
    <mergeCell ref="E18:E20"/>
    <mergeCell ref="C18:C20"/>
    <mergeCell ref="H18:H20"/>
    <mergeCell ref="I18:I20"/>
    <mergeCell ref="I78:I80"/>
    <mergeCell ref="J78:J80"/>
    <mergeCell ref="B73:B74"/>
    <mergeCell ref="C73:C74"/>
    <mergeCell ref="J73:J74"/>
    <mergeCell ref="K73:K74"/>
    <mergeCell ref="L73:L74"/>
    <mergeCell ref="E75:E77"/>
    <mergeCell ref="F75:F77"/>
    <mergeCell ref="G75:G77"/>
    <mergeCell ref="H75:H77"/>
    <mergeCell ref="C75:C77"/>
    <mergeCell ref="D75:D77"/>
    <mergeCell ref="F73:F74"/>
    <mergeCell ref="G73:G74"/>
    <mergeCell ref="I75:I77"/>
    <mergeCell ref="E65:E66"/>
    <mergeCell ref="F65:F66"/>
    <mergeCell ref="G65:G66"/>
    <mergeCell ref="H65:H66"/>
    <mergeCell ref="I65:I66"/>
    <mergeCell ref="J65:J66"/>
    <mergeCell ref="K65:K66"/>
    <mergeCell ref="L65:L66"/>
    <mergeCell ref="M65:O66"/>
  </mergeCells>
  <phoneticPr fontId="2" type="noConversion"/>
  <conditionalFormatting sqref="B24">
    <cfRule type="expression" dxfId="21" priority="1">
      <formula>"OK - ELEZIONI VALIDE"</formula>
    </cfRule>
    <cfRule type="cellIs" dxfId="20" priority="2" operator="equal">
      <formula>"?? - NO QUOZIENTE MINIMO DI VALIDITA' ELEZIONE"</formula>
    </cfRule>
  </conditionalFormatting>
  <conditionalFormatting sqref="B82:O93">
    <cfRule type="expression" dxfId="19" priority="45">
      <formula>$N$75="OK"</formula>
    </cfRule>
  </conditionalFormatting>
  <conditionalFormatting sqref="C73:L74">
    <cfRule type="expression" dxfId="18" priority="47">
      <formula>$N$70&gt;0</formula>
    </cfRule>
  </conditionalFormatting>
  <conditionalFormatting sqref="C21:M22">
    <cfRule type="cellIs" dxfId="17" priority="5" operator="equal">
      <formula>"OK"</formula>
    </cfRule>
  </conditionalFormatting>
  <conditionalFormatting sqref="E26:E29">
    <cfRule type="cellIs" dxfId="16" priority="17" operator="equal">
      <formula>"OK"</formula>
    </cfRule>
  </conditionalFormatting>
  <conditionalFormatting sqref="I43:J43">
    <cfRule type="cellIs" dxfId="15" priority="18" operator="equal">
      <formula>"OK"</formula>
    </cfRule>
  </conditionalFormatting>
  <conditionalFormatting sqref="N70:N72">
    <cfRule type="expression" dxfId="14" priority="4">
      <formula>$N$71="Liste concorrenti in eccesso"</formula>
    </cfRule>
  </conditionalFormatting>
  <conditionalFormatting sqref="N75:N80">
    <cfRule type="cellIs" dxfId="13" priority="20" operator="equal">
      <formula>"ok"</formula>
    </cfRule>
  </conditionalFormatting>
  <conditionalFormatting sqref="N21:O22">
    <cfRule type="expression" dxfId="12" priority="3">
      <formula>"OK - ELEZIONI VALIDE"</formula>
    </cfRule>
    <cfRule type="cellIs" dxfId="11" priority="16" operator="equal">
      <formula>"?? - NO QUOZIENTE MINIMO DI VALIDITA' ELEZIONE"</formula>
    </cfRule>
  </conditionalFormatting>
  <conditionalFormatting sqref="O18">
    <cfRule type="cellIs" dxfId="10" priority="21" operator="lessThan">
      <formula>0.500001</formula>
    </cfRule>
  </conditionalFormatting>
  <conditionalFormatting sqref="O67">
    <cfRule type="expression" dxfId="9" priority="42">
      <formula>$N$21&lt;&gt;"ELEZIONI VALIDE"</formula>
    </cfRule>
  </conditionalFormatting>
  <conditionalFormatting sqref="S47:S56">
    <cfRule type="duplicateValues" dxfId="8" priority="39"/>
  </conditionalFormatting>
  <conditionalFormatting sqref="T47:T56">
    <cfRule type="duplicateValues" dxfId="7" priority="38"/>
  </conditionalFormatting>
  <conditionalFormatting sqref="U47:U56">
    <cfRule type="duplicateValues" dxfId="6" priority="37"/>
  </conditionalFormatting>
  <conditionalFormatting sqref="V47:V56">
    <cfRule type="duplicateValues" dxfId="5" priority="36"/>
  </conditionalFormatting>
  <conditionalFormatting sqref="W47:W56">
    <cfRule type="duplicateValues" dxfId="4" priority="35"/>
  </conditionalFormatting>
  <conditionalFormatting sqref="X47:X56">
    <cfRule type="duplicateValues" dxfId="3" priority="34"/>
  </conditionalFormatting>
  <conditionalFormatting sqref="Y47:Y56">
    <cfRule type="duplicateValues" dxfId="2" priority="33"/>
  </conditionalFormatting>
  <conditionalFormatting sqref="Z47:Z56">
    <cfRule type="duplicateValues" dxfId="1" priority="32"/>
  </conditionalFormatting>
  <conditionalFormatting sqref="AA47:AA56">
    <cfRule type="duplicateValues" dxfId="0" priority="31"/>
  </conditionalFormatting>
  <hyperlinks>
    <hyperlink ref="N3" r:id="rId1"/>
    <hyperlink ref="N3:O3" r:id="rId2" display="https://www.flcgil.it/rsu/"/>
  </hyperlinks>
  <printOptions horizontalCentered="1"/>
  <pageMargins left="0.23622047244094491" right="0.23622047244094491" top="0.74803149606299213" bottom="0.74803149606299213" header="0.31496062992125984" footer="0.31496062992125984"/>
  <pageSetup paperSize="9" scale="45" orientation="portrait" r:id="rId3"/>
  <headerFooter alignWithMargins="0">
    <oddFooter xml:space="preserve">&amp;LFoglio di calcolo a cura della &amp;"Arial,Grassetto"FLC CGIL&amp;Csu dati inseriti dalla Commissione elettorale&amp;R&amp;"Arial,Corsivo"&amp;8Pag. &amp;P/&amp;N </oddFooter>
  </headerFooter>
  <drawing r:id="rId4"/>
  <legacyDrawing r:id="rId5"/>
  <extLst>
    <ext xmlns:x14="http://schemas.microsoft.com/office/spreadsheetml/2009/9/main" uri="{78C0D931-6437-407d-A8EE-F0AAD7539E65}">
      <x14:conditionalFormattings>
        <x14:conditionalFormatting xmlns:xm="http://schemas.microsoft.com/office/excel/2006/main">
          <x14:cfRule type="iconSet" priority="40" id="{0DC4998C-6B4D-4F9F-BF53-05EC68D9D218}">
            <x14:iconSet iconSet="3Symbols" custom="1">
              <x14:cfvo type="percent">
                <xm:f>0</xm:f>
              </x14:cfvo>
              <x14:cfvo type="num">
                <xm:f>0</xm:f>
              </x14:cfvo>
              <x14:cfvo type="num">
                <xm:f>1</xm:f>
              </x14:cfvo>
              <x14:cfIcon iconSet="3Symbols" iconId="0"/>
              <x14:cfIcon iconSet="3Symbols" iconId="2"/>
              <x14:cfIcon iconSet="3Symbols" iconId="1"/>
            </x14:iconSet>
          </x14:cfRule>
          <xm:sqref>N70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27229A63-4D61-42DE-ACEC-1B45171431AF}">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CALCOLO SEGGI</vt:lpstr>
      <vt:lpstr>'CALCOLO SEGGI'!Area_stampa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Foglio FLC CGIL calcolo seggi elezioni RSU</dc:title>
  <dc:subject>Foglio FLC CGIL calcolo seggi elezioni RSU</dc:subject>
  <dc:creator>FLC CGIL</dc:creator>
  <cp:keywords>elezioni rsu, flc cgil, aran, sindacato, scuola, università, ricerca, afam</cp:keywords>
  <cp:lastModifiedBy>Antonella Barruzza</cp:lastModifiedBy>
  <cp:lastPrinted>2025-04-16T12:42:31Z</cp:lastPrinted>
  <dcterms:created xsi:type="dcterms:W3CDTF">2015-01-16T14:10:41Z</dcterms:created>
  <dcterms:modified xsi:type="dcterms:W3CDTF">2025-04-28T09:41:58Z</dcterms:modified>
</cp:coreProperties>
</file>