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0" yWindow="255" windowWidth="14775" windowHeight="7710" tabRatio="175"/>
  </bookViews>
  <sheets>
    <sheet name="Modulo" sheetId="12" r:id="rId1"/>
    <sheet name="Dati" sheetId="11" state="hidden" r:id="rId2"/>
  </sheets>
  <definedNames>
    <definedName name="_xlnm._FilterDatabase" localSheetId="1" hidden="1">Dati!$B$12:$B$19</definedName>
  </definedNames>
  <calcPr calcId="125725"/>
</workbook>
</file>

<file path=xl/calcChain.xml><?xml version="1.0" encoding="utf-8"?>
<calcChain xmlns="http://schemas.openxmlformats.org/spreadsheetml/2006/main">
  <c r="G6" i="11"/>
  <c r="F5"/>
  <c r="F1"/>
  <c r="K19" l="1"/>
  <c r="H19"/>
  <c r="L19"/>
  <c r="C20"/>
  <c r="D20"/>
  <c r="E20"/>
  <c r="F20"/>
  <c r="J19"/>
  <c r="I19"/>
  <c r="K29"/>
  <c r="M18" l="1"/>
  <c r="M19" s="1"/>
  <c r="B23"/>
  <c r="M12"/>
  <c r="N12" s="1"/>
  <c r="F3"/>
  <c r="J3"/>
  <c r="E25"/>
  <c r="E26"/>
  <c r="E24"/>
  <c r="C25"/>
  <c r="C26"/>
  <c r="C24"/>
  <c r="H23"/>
  <c r="H24"/>
  <c r="H25"/>
  <c r="H26"/>
  <c r="M16" l="1"/>
  <c r="N16" s="1"/>
  <c r="O16" s="1"/>
  <c r="Q16" s="1"/>
  <c r="M17"/>
  <c r="M13"/>
  <c r="N13" s="1"/>
  <c r="P13" s="1"/>
  <c r="M15"/>
  <c r="N15" s="1"/>
  <c r="P15" s="1"/>
  <c r="J1"/>
  <c r="M14"/>
  <c r="N14" s="1"/>
  <c r="O14" s="1"/>
  <c r="Q14" s="1"/>
  <c r="N19"/>
  <c r="O19" s="1"/>
  <c r="O12"/>
  <c r="P12"/>
  <c r="R12" s="1"/>
  <c r="B6" i="12"/>
  <c r="O17" i="11" l="1"/>
  <c r="N17"/>
  <c r="Q19"/>
  <c r="P17"/>
  <c r="N18"/>
  <c r="G20"/>
  <c r="P16"/>
  <c r="P14"/>
  <c r="O13"/>
  <c r="Q13" s="1"/>
  <c r="H2" s="1"/>
  <c r="C2" i="12" s="1"/>
  <c r="O15" i="11"/>
  <c r="Q15" s="1"/>
  <c r="P19"/>
  <c r="Q12"/>
  <c r="S12" s="1"/>
  <c r="P18" l="1"/>
  <c r="O18"/>
  <c r="F6" s="1"/>
  <c r="Q18" l="1"/>
  <c r="F7"/>
  <c r="B8" i="12" s="1"/>
  <c r="C8" s="1"/>
  <c r="B7"/>
  <c r="H6" i="11"/>
  <c r="J6" s="1"/>
  <c r="B10" i="12" l="1"/>
  <c r="C10" s="1"/>
  <c r="C7"/>
</calcChain>
</file>

<file path=xl/sharedStrings.xml><?xml version="1.0" encoding="utf-8"?>
<sst xmlns="http://schemas.openxmlformats.org/spreadsheetml/2006/main" count="56" uniqueCount="49">
  <si>
    <t>Importo ISEE</t>
  </si>
  <si>
    <t>Trasporto</t>
  </si>
  <si>
    <t>Retta assegnata</t>
  </si>
  <si>
    <t>contributo (o sconto)</t>
  </si>
  <si>
    <t>contributo (o sconto) con pluriutenza</t>
  </si>
  <si>
    <t>Kontributo Settimanale</t>
  </si>
  <si>
    <t>Kontributo Settimanale + Pluriutenza</t>
  </si>
  <si>
    <t>Servizio</t>
  </si>
  <si>
    <t>Tipo Servizio</t>
  </si>
  <si>
    <t>Mensa 5 gg/set</t>
  </si>
  <si>
    <t>Mensa 4 gg/set</t>
  </si>
  <si>
    <t>Mensa 3 gg/set</t>
  </si>
  <si>
    <t>Mensa 2 gg/set</t>
  </si>
  <si>
    <t>Mensa 1 gg/set</t>
  </si>
  <si>
    <t>Nido Tempo Normale</t>
  </si>
  <si>
    <t>Nido part time</t>
  </si>
  <si>
    <t>Retta applicata</t>
  </si>
  <si>
    <t>Sconto/contributo</t>
  </si>
  <si>
    <t>Retta standard</t>
  </si>
  <si>
    <t>Importo mensile</t>
  </si>
  <si>
    <t>Retta Massima</t>
  </si>
  <si>
    <t>N° Figli minori</t>
  </si>
  <si>
    <t>differenza</t>
  </si>
  <si>
    <t>solo agev</t>
  </si>
  <si>
    <t>%</t>
  </si>
  <si>
    <t>Descrizione aggiuntiva</t>
  </si>
  <si>
    <t>Nidi comunali, nidi privati convenzionati.</t>
  </si>
  <si>
    <t>N°</t>
  </si>
  <si>
    <t>Retta ass. con riduz. figli minori</t>
  </si>
  <si>
    <t>Retta calcolata</t>
  </si>
  <si>
    <t>Scuole dell'Infanzia Comunali, Statali, scuole Primarie TP</t>
  </si>
  <si>
    <t>Scuole Primarie Tempo Ordinario</t>
  </si>
  <si>
    <t>Retta applicata (con riduz. figli minori)</t>
  </si>
  <si>
    <t>Riduzione (sconto)</t>
  </si>
  <si>
    <t>Quota per prolungato comunale</t>
  </si>
  <si>
    <t>Pluriutenza o Famiglie Numerose</t>
  </si>
  <si>
    <t>1 = No Pluriutenza o Fimiglia Numerosa
2= Pluriutenza (2 o più figli con servizi attivi)
3= Famiglia Numerosa (3 o più figli minori)</t>
  </si>
  <si>
    <t>€ 15.000,00</t>
  </si>
  <si>
    <t>Tetto agevolativo 2° livello</t>
  </si>
  <si>
    <t>Tetto agevolativo 3° livello</t>
  </si>
  <si>
    <t>Tetto agevolativo 4° livello</t>
  </si>
  <si>
    <t>Tetto agevolativo 5° livello minimo</t>
  </si>
  <si>
    <t>Tetto agevolativo 1° livello massimo</t>
  </si>
  <si>
    <t>Retta 1°livello massima</t>
  </si>
  <si>
    <t>Retta 2°livello</t>
  </si>
  <si>
    <t>Retta 3°livello</t>
  </si>
  <si>
    <t>Retta 4°livello</t>
  </si>
  <si>
    <t>Retta 5°livello minima</t>
  </si>
  <si>
    <t>Gli importi del Nido derivanti dal calcolo sopra indicato tengono già conto del Contributo Regionale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</si>
</sst>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&quot;€&quot;\ * #,##0.00_);_(&quot;€&quot;\ * \(#,##0.00\);_(&quot;€&quot;\ * &quot;-&quot;??_);_(@_)"/>
    <numFmt numFmtId="165" formatCode="\€\ #,##0.00"/>
    <numFmt numFmtId="166" formatCode="&quot;€&quot;\ #,##0.00"/>
    <numFmt numFmtId="167" formatCode="0.0%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10"/>
      <color indexed="57"/>
      <name val="Arial"/>
      <family val="2"/>
    </font>
    <font>
      <u/>
      <sz val="6"/>
      <name val="Arial"/>
      <family val="2"/>
    </font>
    <font>
      <i/>
      <sz val="4"/>
      <name val="Times New Roman"/>
      <family val="1"/>
    </font>
    <font>
      <b/>
      <sz val="8"/>
      <name val="Arial"/>
      <family val="2"/>
    </font>
    <font>
      <sz val="4"/>
      <name val="Arial"/>
      <family val="2"/>
    </font>
    <font>
      <sz val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2" fillId="3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164" fontId="8" fillId="2" borderId="2" xfId="1" applyFont="1" applyFill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10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164" fontId="7" fillId="4" borderId="2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0" fillId="0" borderId="0" xfId="0" applyFill="1" applyBorder="1"/>
    <xf numFmtId="9" fontId="0" fillId="0" borderId="0" xfId="2" applyFont="1" applyBorder="1"/>
    <xf numFmtId="167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1" fontId="2" fillId="3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9" fontId="3" fillId="0" borderId="0" xfId="2" applyFont="1" applyBorder="1"/>
    <xf numFmtId="0" fontId="2" fillId="0" borderId="0" xfId="0" applyFont="1" applyBorder="1"/>
    <xf numFmtId="165" fontId="2" fillId="5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164" fontId="13" fillId="2" borderId="0" xfId="1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horizontal="center" vertical="center"/>
    </xf>
    <xf numFmtId="1" fontId="3" fillId="0" borderId="0" xfId="0" applyNumberFormat="1" applyFont="1" applyBorder="1"/>
    <xf numFmtId="2" fontId="0" fillId="0" borderId="0" xfId="0" applyNumberFormat="1" applyBorder="1"/>
    <xf numFmtId="166" fontId="0" fillId="0" borderId="0" xfId="0" applyNumberFormat="1" applyBorder="1"/>
    <xf numFmtId="165" fontId="2" fillId="6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9" fontId="17" fillId="4" borderId="2" xfId="2" applyFont="1" applyFill="1" applyBorder="1" applyAlignment="1">
      <alignment horizontal="center" vertical="center"/>
    </xf>
    <xf numFmtId="43" fontId="0" fillId="2" borderId="0" xfId="0" applyNumberFormat="1" applyFill="1" applyAlignment="1">
      <alignment vertical="center"/>
    </xf>
    <xf numFmtId="39" fontId="12" fillId="2" borderId="0" xfId="0" applyNumberFormat="1" applyFont="1" applyFill="1" applyAlignment="1">
      <alignment vertical="center"/>
    </xf>
    <xf numFmtId="166" fontId="18" fillId="0" borderId="0" xfId="0" applyNumberFormat="1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20" fillId="0" borderId="0" xfId="0" applyFont="1" applyAlignment="1">
      <alignment horizontal="left" vertical="top"/>
    </xf>
    <xf numFmtId="0" fontId="2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166" fontId="24" fillId="0" borderId="0" xfId="0" applyNumberFormat="1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/>
    </xf>
    <xf numFmtId="166" fontId="25" fillId="0" borderId="0" xfId="0" applyNumberFormat="1" applyFont="1" applyBorder="1"/>
    <xf numFmtId="166" fontId="11" fillId="0" borderId="0" xfId="0" applyNumberFormat="1" applyFont="1" applyFill="1" applyBorder="1" applyAlignment="1">
      <alignment horizontal="center"/>
    </xf>
    <xf numFmtId="0" fontId="23" fillId="2" borderId="4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4" fillId="7" borderId="0" xfId="0" applyNumberFormat="1" applyFont="1" applyFill="1" applyBorder="1" applyAlignment="1">
      <alignment horizontal="center" vertical="center"/>
    </xf>
    <xf numFmtId="0" fontId="4" fillId="7" borderId="0" xfId="1" applyNumberFormat="1" applyFont="1" applyFill="1" applyBorder="1" applyAlignment="1">
      <alignment horizontal="center" vertical="center"/>
    </xf>
    <xf numFmtId="1" fontId="4" fillId="7" borderId="0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</cellXfs>
  <cellStyles count="3">
    <cellStyle name="Euro" xfId="1"/>
    <cellStyle name="Normale" xfId="0" builtinId="0"/>
    <cellStyle name="Percentuale" xfId="2" builtinId="5"/>
  </cellStyles>
  <dxfs count="6"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i!$F$2" fmlaRange="Dati!$B$12:$B$19" noThreeD="1" sel="2" val="0"/>
</file>

<file path=xl/tables/table1.xml><?xml version="1.0" encoding="utf-8"?>
<table xmlns="http://schemas.openxmlformats.org/spreadsheetml/2006/main" id="2" name="Elenco1" displayName="Elenco1" ref="B12:C20" totalsRowCount="1" headerRowDxfId="5" dataDxfId="4">
  <autoFilter ref="B12:C19"/>
  <tableColumns count="2">
    <tableColumn id="1" name="Mensa 5 gg/set" dataDxfId="3" totalsRowDxfId="2"/>
    <tableColumn id="2" name="€ 15.000,00" totalsRowFunction="custom" dataDxfId="1" totalsRowDxfId="0">
      <totalsRowFormula>($F$1-D18)*(H18-I18)/(C18-D18)+I18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tabColor indexed="10"/>
    <pageSetUpPr autoPageBreaks="0"/>
  </sheetPr>
  <dimension ref="A1:D13"/>
  <sheetViews>
    <sheetView showGridLines="0" showRowColHeaders="0" tabSelected="1" showOutlineSymbols="0" zoomScale="309" zoomScaleNormal="44" workbookViewId="0">
      <selection activeCell="B3" sqref="B3"/>
    </sheetView>
  </sheetViews>
  <sheetFormatPr defaultRowHeight="12.75"/>
  <cols>
    <col min="1" max="1" width="14.7109375" style="3" customWidth="1"/>
    <col min="2" max="2" width="20.42578125" style="1" customWidth="1"/>
    <col min="3" max="3" width="5.42578125" style="12" customWidth="1"/>
    <col min="4" max="4" width="7" style="1" customWidth="1"/>
    <col min="5" max="16384" width="9.140625" style="1"/>
  </cols>
  <sheetData>
    <row r="1" spans="1:4" ht="15" customHeight="1">
      <c r="A1" s="4" t="s">
        <v>0</v>
      </c>
      <c r="B1" s="6">
        <v>15000</v>
      </c>
      <c r="C1" s="54"/>
      <c r="D1" s="16"/>
    </row>
    <row r="2" spans="1:4" ht="15.75" customHeight="1">
      <c r="A2" s="4" t="s">
        <v>8</v>
      </c>
      <c r="B2" s="5">
        <v>7293</v>
      </c>
      <c r="C2" s="64">
        <f>Dati!H2</f>
        <v>0</v>
      </c>
      <c r="D2" s="65"/>
    </row>
    <row r="3" spans="1:4" ht="19.5" customHeight="1">
      <c r="A3" s="57" t="s">
        <v>35</v>
      </c>
      <c r="B3" s="34">
        <v>1</v>
      </c>
      <c r="C3" s="62" t="s">
        <v>36</v>
      </c>
      <c r="D3" s="63"/>
    </row>
    <row r="4" spans="1:4" ht="10.5" customHeight="1">
      <c r="A4" s="56"/>
      <c r="B4" s="5"/>
      <c r="C4" s="53"/>
      <c r="D4" s="53"/>
    </row>
    <row r="5" spans="1:4" ht="12.75" customHeight="1">
      <c r="A5" s="4"/>
      <c r="B5" s="15" t="s">
        <v>19</v>
      </c>
      <c r="C5" s="53"/>
      <c r="D5" s="53"/>
    </row>
    <row r="6" spans="1:4" ht="12.75" customHeight="1">
      <c r="A6" s="7" t="s">
        <v>18</v>
      </c>
      <c r="B6" s="9">
        <f>Dati!F5</f>
        <v>81.569999999999993</v>
      </c>
      <c r="C6" s="53"/>
      <c r="D6" s="53"/>
    </row>
    <row r="7" spans="1:4" ht="15.75" customHeight="1">
      <c r="A7" s="13" t="s">
        <v>16</v>
      </c>
      <c r="B7" s="14">
        <f>Dati!F6</f>
        <v>81.569999999999993</v>
      </c>
      <c r="C7" s="49">
        <f>B7/B$6</f>
        <v>1</v>
      </c>
      <c r="D7" s="16"/>
    </row>
    <row r="8" spans="1:4" ht="15.75" hidden="1" customHeight="1">
      <c r="A8" s="7" t="s">
        <v>17</v>
      </c>
      <c r="B8" s="8">
        <f>Dati!F7</f>
        <v>0</v>
      </c>
      <c r="C8" s="11">
        <f>B8/B$6</f>
        <v>0</v>
      </c>
      <c r="D8" s="16"/>
    </row>
    <row r="9" spans="1:4">
      <c r="A9" s="73" t="s">
        <v>48</v>
      </c>
      <c r="B9" s="51"/>
      <c r="C9" s="10"/>
      <c r="D9" s="16"/>
    </row>
    <row r="10" spans="1:4">
      <c r="A10" s="41" t="s">
        <v>33</v>
      </c>
      <c r="B10" s="42">
        <f>B6-B7</f>
        <v>0</v>
      </c>
      <c r="C10" s="43">
        <f>B10/B$6</f>
        <v>0</v>
      </c>
      <c r="D10" s="50"/>
    </row>
    <row r="11" spans="1:4">
      <c r="A11" s="55"/>
    </row>
    <row r="12" spans="1:4">
      <c r="A12" s="55"/>
    </row>
    <row r="13" spans="1:4">
      <c r="A13" s="2"/>
    </row>
  </sheetData>
  <sheetProtection sheet="1" objects="1" scenarios="1" selectLockedCells="1"/>
  <mergeCells count="2">
    <mergeCell ref="C3:D3"/>
    <mergeCell ref="C2:D2"/>
  </mergeCells>
  <phoneticPr fontId="0" type="noConversion"/>
  <pageMargins left="0.75" right="0.75" top="1" bottom="1" header="0.5" footer="0.5"/>
  <pageSetup paperSize="9" scale="15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T29"/>
  <sheetViews>
    <sheetView showGridLines="0" zoomScaleNormal="100" workbookViewId="0">
      <selection activeCell="N18" sqref="N18"/>
    </sheetView>
  </sheetViews>
  <sheetFormatPr defaultRowHeight="12.75"/>
  <cols>
    <col min="1" max="1" width="3" style="18" bestFit="1" customWidth="1"/>
    <col min="2" max="2" width="23.85546875" style="18" bestFit="1" customWidth="1"/>
    <col min="3" max="3" width="11.7109375" style="18" bestFit="1" customWidth="1"/>
    <col min="4" max="4" width="11.7109375" style="18" customWidth="1"/>
    <col min="5" max="5" width="11.5703125" style="18" customWidth="1"/>
    <col min="6" max="6" width="10.85546875" style="18" bestFit="1" customWidth="1"/>
    <col min="7" max="7" width="10.7109375" style="18" bestFit="1" customWidth="1"/>
    <col min="8" max="8" width="11.28515625" style="18" customWidth="1"/>
    <col min="9" max="9" width="9.7109375" style="18" customWidth="1"/>
    <col min="10" max="10" width="9" style="18" bestFit="1" customWidth="1"/>
    <col min="11" max="11" width="10.5703125" style="18" customWidth="1"/>
    <col min="12" max="12" width="11.28515625" style="18" customWidth="1"/>
    <col min="13" max="13" width="12.140625" style="18" customWidth="1"/>
    <col min="14" max="15" width="12.5703125" style="18" bestFit="1" customWidth="1"/>
    <col min="16" max="16" width="14.28515625" style="18" customWidth="1"/>
    <col min="17" max="17" width="16.140625" style="18" customWidth="1"/>
    <col min="18" max="18" width="12.42578125" style="18" customWidth="1"/>
    <col min="19" max="16384" width="9.140625" style="18"/>
  </cols>
  <sheetData>
    <row r="1" spans="1:20" ht="13.5" customHeight="1">
      <c r="B1" s="69" t="s">
        <v>0</v>
      </c>
      <c r="C1" s="69"/>
      <c r="D1" s="36"/>
      <c r="E1" s="29"/>
      <c r="F1" s="70">
        <f>Modulo!B1</f>
        <v>15000</v>
      </c>
      <c r="G1" s="70"/>
      <c r="H1" s="17"/>
      <c r="I1" s="17"/>
      <c r="J1" s="17" t="b">
        <f>F1=Modulo!B1</f>
        <v>1</v>
      </c>
      <c r="K1" s="17"/>
    </row>
    <row r="2" spans="1:20" ht="13.5" customHeight="1">
      <c r="B2" s="69" t="s">
        <v>8</v>
      </c>
      <c r="C2" s="69"/>
      <c r="D2" s="36"/>
      <c r="E2" s="29"/>
      <c r="F2" s="71">
        <v>3</v>
      </c>
      <c r="G2" s="71"/>
      <c r="H2" s="17">
        <f>INDEX(B12:T19,F2,17)</f>
        <v>0</v>
      </c>
      <c r="I2" s="17"/>
      <c r="J2" s="17"/>
      <c r="K2" s="17"/>
    </row>
    <row r="3" spans="1:20" ht="13.5" customHeight="1">
      <c r="B3" s="69" t="s">
        <v>21</v>
      </c>
      <c r="C3" s="69"/>
      <c r="D3" s="36"/>
      <c r="E3" s="29"/>
      <c r="F3" s="72">
        <f>Modulo!B3</f>
        <v>1</v>
      </c>
      <c r="G3" s="72"/>
      <c r="H3" s="17"/>
      <c r="I3" s="17"/>
      <c r="J3" s="44">
        <f>Modulo!B3</f>
        <v>1</v>
      </c>
      <c r="K3" s="17"/>
    </row>
    <row r="4" spans="1:20" ht="12.75" customHeight="1">
      <c r="B4" s="19"/>
      <c r="F4" s="20"/>
      <c r="J4" s="17"/>
      <c r="K4" s="17"/>
    </row>
    <row r="5" spans="1:20" ht="15.75">
      <c r="B5" s="68" t="s">
        <v>20</v>
      </c>
      <c r="C5" s="68"/>
      <c r="D5" s="68"/>
      <c r="E5" s="68"/>
      <c r="F5" s="21">
        <f>INDEX(B12:T19,F2,7)</f>
        <v>81.569999999999993</v>
      </c>
      <c r="G5" s="33" t="s">
        <v>23</v>
      </c>
      <c r="H5" s="33" t="s">
        <v>22</v>
      </c>
      <c r="I5" s="33"/>
      <c r="J5" s="36" t="s">
        <v>24</v>
      </c>
      <c r="K5" s="36"/>
    </row>
    <row r="6" spans="1:20" ht="15.75">
      <c r="B6" s="68" t="s">
        <v>32</v>
      </c>
      <c r="C6" s="68"/>
      <c r="D6" s="68"/>
      <c r="E6" s="68"/>
      <c r="F6" s="21">
        <f>INDEX(B12:T19,F2,14)</f>
        <v>81.569999999999993</v>
      </c>
      <c r="G6" s="35">
        <f>INDEX(B12:T19,F2,11)</f>
        <v>21.66</v>
      </c>
      <c r="H6" s="35">
        <f>G6-F6</f>
        <v>-59.91</v>
      </c>
      <c r="I6" s="35"/>
      <c r="J6" s="37">
        <f>H6/G6</f>
        <v>-2.7659279778393349</v>
      </c>
      <c r="K6" s="37"/>
    </row>
    <row r="7" spans="1:20" ht="15.75">
      <c r="B7" s="68" t="s">
        <v>17</v>
      </c>
      <c r="C7" s="68"/>
      <c r="D7" s="68"/>
      <c r="E7" s="68"/>
      <c r="F7" s="21">
        <f>F5-F6</f>
        <v>0</v>
      </c>
      <c r="J7" s="17"/>
      <c r="K7" s="17"/>
    </row>
    <row r="8" spans="1:20">
      <c r="C8" s="20"/>
      <c r="D8" s="20"/>
      <c r="E8" s="20"/>
      <c r="F8" s="20"/>
    </row>
    <row r="9" spans="1:20" s="38" customFormat="1" ht="11.25" customHeight="1"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3">
        <v>14</v>
      </c>
      <c r="P9" s="33">
        <v>15</v>
      </c>
      <c r="Q9" s="33">
        <v>16</v>
      </c>
      <c r="R9" s="33">
        <v>17</v>
      </c>
    </row>
    <row r="10" spans="1:20">
      <c r="C10" s="20"/>
      <c r="D10" s="20"/>
      <c r="E10" s="20"/>
      <c r="F10" s="20"/>
      <c r="G10" s="66"/>
      <c r="H10" s="66"/>
      <c r="I10" s="66"/>
      <c r="J10" s="66"/>
      <c r="K10" s="66"/>
      <c r="L10" s="66"/>
      <c r="M10" s="66"/>
      <c r="N10" s="67"/>
      <c r="O10" s="67"/>
    </row>
    <row r="11" spans="1:20" ht="49.5" customHeight="1">
      <c r="A11" s="33" t="s">
        <v>27</v>
      </c>
      <c r="B11" s="22" t="s">
        <v>7</v>
      </c>
      <c r="C11" s="23" t="s">
        <v>42</v>
      </c>
      <c r="D11" s="23" t="s">
        <v>38</v>
      </c>
      <c r="E11" s="23" t="s">
        <v>39</v>
      </c>
      <c r="F11" s="23" t="s">
        <v>40</v>
      </c>
      <c r="G11" s="23" t="s">
        <v>41</v>
      </c>
      <c r="H11" s="23" t="s">
        <v>43</v>
      </c>
      <c r="I11" s="23" t="s">
        <v>44</v>
      </c>
      <c r="J11" s="23" t="s">
        <v>45</v>
      </c>
      <c r="K11" s="23" t="s">
        <v>46</v>
      </c>
      <c r="L11" s="23" t="s">
        <v>47</v>
      </c>
      <c r="M11" s="23" t="s">
        <v>29</v>
      </c>
      <c r="N11" s="40" t="s">
        <v>2</v>
      </c>
      <c r="O11" s="39" t="s">
        <v>28</v>
      </c>
      <c r="P11" s="47" t="s">
        <v>3</v>
      </c>
      <c r="Q11" s="24" t="s">
        <v>4</v>
      </c>
      <c r="R11" s="25" t="s">
        <v>5</v>
      </c>
      <c r="S11" s="25" t="s">
        <v>6</v>
      </c>
      <c r="T11" s="25" t="s">
        <v>25</v>
      </c>
    </row>
    <row r="12" spans="1:20">
      <c r="A12" s="20">
        <v>1</v>
      </c>
      <c r="B12" s="26" t="s">
        <v>9</v>
      </c>
      <c r="C12" s="59" t="s">
        <v>37</v>
      </c>
      <c r="D12" s="27">
        <v>15000</v>
      </c>
      <c r="E12" s="27"/>
      <c r="F12" s="27">
        <v>15000</v>
      </c>
      <c r="G12" s="27">
        <v>5000</v>
      </c>
      <c r="H12" s="52">
        <v>135.94999999999999</v>
      </c>
      <c r="I12" s="28"/>
      <c r="L12" s="52">
        <v>36.1</v>
      </c>
      <c r="M12" s="58">
        <f>ROUND(IF($F$1&lt;=G12,L12,IF($F$1&gt;=D12,H12,($F$1*(L12-H12)+G12*H12-D12*L12)/(G12-D12))),2)</f>
        <v>135.94999999999999</v>
      </c>
      <c r="N12" s="40">
        <f>M12</f>
        <v>135.94999999999999</v>
      </c>
      <c r="O12" s="39">
        <f>N12*IF(AND($F$3=2,$F$1&lt;D12),0.8,IF(AND($F$3&gt;=3,$F$1&lt;D12),0.7,1))</f>
        <v>135.94999999999999</v>
      </c>
      <c r="P12" s="47">
        <f t="shared" ref="P12:P16" si="0">I12-N12</f>
        <v>-135.94999999999999</v>
      </c>
      <c r="Q12" s="25">
        <f>H12-O12</f>
        <v>0</v>
      </c>
      <c r="R12" s="25">
        <f>ROUND(P12/4,2)</f>
        <v>-33.99</v>
      </c>
      <c r="S12" s="25">
        <f>ROUND(Q12/4,2)</f>
        <v>0</v>
      </c>
      <c r="T12" s="18" t="s">
        <v>30</v>
      </c>
    </row>
    <row r="13" spans="1:20">
      <c r="A13" s="20">
        <v>2</v>
      </c>
      <c r="B13" s="26" t="s">
        <v>10</v>
      </c>
      <c r="C13" s="59">
        <v>15000</v>
      </c>
      <c r="D13" s="27">
        <v>15000</v>
      </c>
      <c r="E13" s="27"/>
      <c r="F13" s="27">
        <v>15000</v>
      </c>
      <c r="G13" s="27">
        <v>5000</v>
      </c>
      <c r="H13" s="52">
        <v>108.76</v>
      </c>
      <c r="I13" s="28"/>
      <c r="L13" s="52">
        <v>28.88</v>
      </c>
      <c r="M13" s="58">
        <f>ROUND(IF($F$1&lt;=G13,L13,IF($F$1&gt;=D13,H13,($F$1*(L13-H13)+G13*H13-D13*L13)/(G13-D13))),2)</f>
        <v>108.76</v>
      </c>
      <c r="N13" s="40">
        <f t="shared" ref="N13:N19" si="1">M13</f>
        <v>108.76</v>
      </c>
      <c r="O13" s="39">
        <f>N13*IF(AND($F$3=2,$F$1&lt;D13),0.8,IF(AND($F$3&gt;=3,$F$1&lt;D13),0.7,1))</f>
        <v>108.76</v>
      </c>
      <c r="P13" s="47">
        <f t="shared" si="0"/>
        <v>-108.76</v>
      </c>
      <c r="Q13" s="25">
        <f>H13-O13</f>
        <v>0</v>
      </c>
      <c r="T13" s="18" t="s">
        <v>31</v>
      </c>
    </row>
    <row r="14" spans="1:20">
      <c r="A14" s="20">
        <v>3</v>
      </c>
      <c r="B14" s="26" t="s">
        <v>11</v>
      </c>
      <c r="C14" s="59">
        <v>15000</v>
      </c>
      <c r="D14" s="27">
        <v>15000</v>
      </c>
      <c r="E14" s="27"/>
      <c r="F14" s="27">
        <v>15000</v>
      </c>
      <c r="G14" s="27">
        <v>5000</v>
      </c>
      <c r="H14" s="52">
        <v>81.569999999999993</v>
      </c>
      <c r="I14" s="28"/>
      <c r="L14" s="52">
        <v>21.66</v>
      </c>
      <c r="M14" s="58">
        <f>ROUND(IF($F$1&lt;=G14,L14,IF($F$1&gt;=D14,H14,($F$1*(L14-H14)+G14*H14-D14*L14)/(G14-D14))),2)</f>
        <v>81.569999999999993</v>
      </c>
      <c r="N14" s="40">
        <f t="shared" si="1"/>
        <v>81.569999999999993</v>
      </c>
      <c r="O14" s="39">
        <f>N14*IF(AND($F$3=2,$F$1&lt;D14),0.8,IF(AND($F$3&gt;=3,$F$1&lt;D14),0.7,1))</f>
        <v>81.569999999999993</v>
      </c>
      <c r="P14" s="47">
        <f t="shared" si="0"/>
        <v>-81.569999999999993</v>
      </c>
      <c r="Q14" s="25">
        <f>H14-O14</f>
        <v>0</v>
      </c>
      <c r="T14" s="18" t="s">
        <v>31</v>
      </c>
    </row>
    <row r="15" spans="1:20">
      <c r="A15" s="20">
        <v>4</v>
      </c>
      <c r="B15" s="26" t="s">
        <v>12</v>
      </c>
      <c r="C15" s="59">
        <v>15000</v>
      </c>
      <c r="D15" s="27">
        <v>15000</v>
      </c>
      <c r="E15" s="27"/>
      <c r="F15" s="27">
        <v>15000</v>
      </c>
      <c r="G15" s="27">
        <v>5000</v>
      </c>
      <c r="H15" s="52">
        <v>54.38</v>
      </c>
      <c r="I15" s="28"/>
      <c r="L15" s="52">
        <v>14.44</v>
      </c>
      <c r="M15" s="58">
        <f>ROUND(IF($F$1&lt;=G15,L15,IF($F$1&gt;=D15,H15,($F$1*(L15-H15)+G15*H15-D15*L15)/(G15-D15))),2)</f>
        <v>54.38</v>
      </c>
      <c r="N15" s="40">
        <f t="shared" si="1"/>
        <v>54.38</v>
      </c>
      <c r="O15" s="39">
        <f>N15*IF(AND($F$3=2,$F$1&lt;D15),0.8,IF(AND($F$3&gt;=3,$F$1&lt;D15),0.7,1))</f>
        <v>54.38</v>
      </c>
      <c r="P15" s="47">
        <f t="shared" si="0"/>
        <v>-54.38</v>
      </c>
      <c r="Q15" s="25">
        <f>H15-O15</f>
        <v>0</v>
      </c>
      <c r="T15" s="18" t="s">
        <v>31</v>
      </c>
    </row>
    <row r="16" spans="1:20">
      <c r="A16" s="20">
        <v>5</v>
      </c>
      <c r="B16" s="26" t="s">
        <v>13</v>
      </c>
      <c r="C16" s="59">
        <v>15000</v>
      </c>
      <c r="D16" s="27">
        <v>15000</v>
      </c>
      <c r="E16" s="27"/>
      <c r="F16" s="27">
        <v>15000</v>
      </c>
      <c r="G16" s="27">
        <v>5000</v>
      </c>
      <c r="H16" s="52">
        <v>27.19</v>
      </c>
      <c r="I16" s="28"/>
      <c r="L16" s="52">
        <v>7.22</v>
      </c>
      <c r="M16" s="58">
        <f>ROUND(IF($F$1&lt;=G16,L16,IF($F$1&gt;=D16,H16,($F$1*(L16-H16)+G16*H16-D16*L16)/(G16-D16))),2)</f>
        <v>27.19</v>
      </c>
      <c r="N16" s="40">
        <f t="shared" si="1"/>
        <v>27.19</v>
      </c>
      <c r="O16" s="39">
        <f>N16*IF(AND($F$3=2,$F$1&lt;D16),0.8,IF(AND($F$3&gt;=3,$F$1&lt;D16),0.7,1))</f>
        <v>27.19</v>
      </c>
      <c r="P16" s="47">
        <f t="shared" si="0"/>
        <v>-27.19</v>
      </c>
      <c r="Q16" s="25">
        <f>H16-O16</f>
        <v>0</v>
      </c>
      <c r="T16" s="18" t="s">
        <v>31</v>
      </c>
    </row>
    <row r="17" spans="1:20">
      <c r="A17" s="20">
        <v>6</v>
      </c>
      <c r="B17" s="26" t="s">
        <v>1</v>
      </c>
      <c r="C17" s="59">
        <v>15000</v>
      </c>
      <c r="D17" s="27">
        <v>15000</v>
      </c>
      <c r="E17" s="27"/>
      <c r="F17" s="27">
        <v>15000</v>
      </c>
      <c r="G17" s="27">
        <v>5000</v>
      </c>
      <c r="H17" s="52">
        <v>38.25</v>
      </c>
      <c r="I17" s="28"/>
      <c r="L17" s="52">
        <v>17</v>
      </c>
      <c r="M17" s="58">
        <f>ROUND(IF($F$1&lt;D17,L17,H17),2)</f>
        <v>38.25</v>
      </c>
      <c r="N17" s="40">
        <f>M17</f>
        <v>38.25</v>
      </c>
      <c r="O17" s="39">
        <f>N17</f>
        <v>38.25</v>
      </c>
      <c r="P17" s="47">
        <f>I17-N17</f>
        <v>-38.25</v>
      </c>
      <c r="Q17" s="25"/>
    </row>
    <row r="18" spans="1:20">
      <c r="A18" s="20">
        <v>7</v>
      </c>
      <c r="B18" s="26" t="s">
        <v>14</v>
      </c>
      <c r="C18" s="59">
        <v>52000</v>
      </c>
      <c r="D18" s="27">
        <v>30000</v>
      </c>
      <c r="E18" s="27">
        <v>26000</v>
      </c>
      <c r="F18" s="27">
        <v>20000</v>
      </c>
      <c r="G18" s="27">
        <v>10000</v>
      </c>
      <c r="H18" s="52">
        <v>550</v>
      </c>
      <c r="I18" s="28">
        <v>400</v>
      </c>
      <c r="J18" s="28">
        <v>245</v>
      </c>
      <c r="K18" s="28">
        <v>220</v>
      </c>
      <c r="L18" s="52">
        <v>50</v>
      </c>
      <c r="M18" s="58">
        <f>IF(F1&gt;C18,H18,0)+IF(AND(F1&lt;=C18,F1&gt;D18),C20,0)+IF(AND(F1&lt;=D18,F1&gt;E18),D20,0)+IF(AND(F1&lt;=E18,F1&gt;F18),E20,0)+IF(AND(F1&lt;=F18,F1&gt;G18),F20,0)+IF(F1&lt;=G18,L18,0)</f>
        <v>135</v>
      </c>
      <c r="N18" s="40">
        <f>M18</f>
        <v>135</v>
      </c>
      <c r="O18" s="39">
        <f>N18*IF(AND($F$3=2,$F$1&lt;E18),0.8,IF(AND($F$3&gt;=3,$F$1&lt;E18),0.7,1))</f>
        <v>135</v>
      </c>
      <c r="P18" s="47">
        <f>I18-N18</f>
        <v>265</v>
      </c>
      <c r="Q18" s="48">
        <f>J18-O18</f>
        <v>110</v>
      </c>
      <c r="T18" s="18" t="s">
        <v>26</v>
      </c>
    </row>
    <row r="19" spans="1:20">
      <c r="A19" s="20">
        <v>8</v>
      </c>
      <c r="B19" s="26" t="s">
        <v>15</v>
      </c>
      <c r="C19" s="59">
        <v>52000</v>
      </c>
      <c r="D19" s="27">
        <v>30000</v>
      </c>
      <c r="E19" s="27">
        <v>26000</v>
      </c>
      <c r="F19" s="27">
        <v>20000</v>
      </c>
      <c r="G19" s="27">
        <v>10000</v>
      </c>
      <c r="H19" s="52">
        <f t="shared" ref="H19:M19" si="2">H18*0.8</f>
        <v>440</v>
      </c>
      <c r="I19" s="28">
        <f t="shared" si="2"/>
        <v>320</v>
      </c>
      <c r="J19" s="28">
        <f t="shared" si="2"/>
        <v>196</v>
      </c>
      <c r="K19" s="28">
        <f t="shared" si="2"/>
        <v>176</v>
      </c>
      <c r="L19" s="52">
        <f t="shared" si="2"/>
        <v>40</v>
      </c>
      <c r="M19" s="58">
        <f t="shared" si="2"/>
        <v>108</v>
      </c>
      <c r="N19" s="40">
        <f t="shared" si="1"/>
        <v>108</v>
      </c>
      <c r="O19" s="39">
        <f>N19*IF(AND($F$3=2,$F$1&lt;E19),0.8,IF(AND($F$3&gt;=3,$F$1&lt;E19),0.7,1))</f>
        <v>108</v>
      </c>
      <c r="P19" s="47">
        <f>I19-N19</f>
        <v>212</v>
      </c>
      <c r="Q19" s="25">
        <f>J19-O19</f>
        <v>88</v>
      </c>
      <c r="T19" s="18" t="s">
        <v>26</v>
      </c>
    </row>
    <row r="20" spans="1:20">
      <c r="A20" s="20"/>
      <c r="B20" s="26"/>
      <c r="C20" s="61">
        <f>($F$1-D18)*(H18-I18)/(C18-D18)+I18</f>
        <v>297.72727272727275</v>
      </c>
      <c r="D20" s="61">
        <f t="shared" ref="D20:G20" si="3">($F$1-E18)*(I18-J18)/(D18-E18)+J18</f>
        <v>-181.25</v>
      </c>
      <c r="E20" s="61">
        <f t="shared" si="3"/>
        <v>199.16666666666666</v>
      </c>
      <c r="F20" s="61">
        <f t="shared" si="3"/>
        <v>135</v>
      </c>
      <c r="G20" s="61">
        <f t="shared" si="3"/>
        <v>5.0264550264550394</v>
      </c>
    </row>
    <row r="21" spans="1:20">
      <c r="A21" s="20"/>
      <c r="H21" s="18" t="s">
        <v>34</v>
      </c>
      <c r="K21" s="45"/>
      <c r="L21" s="25">
        <v>80</v>
      </c>
    </row>
    <row r="22" spans="1:20">
      <c r="A22" s="20"/>
      <c r="C22" s="60"/>
      <c r="K22" s="45"/>
    </row>
    <row r="23" spans="1:20">
      <c r="B23" s="31">
        <f>J18/$J$18</f>
        <v>1</v>
      </c>
      <c r="C23" s="28">
        <v>370</v>
      </c>
      <c r="D23" s="28"/>
      <c r="E23" s="28">
        <v>400</v>
      </c>
      <c r="F23" s="18">
        <v>5</v>
      </c>
      <c r="G23" s="28">
        <v>131</v>
      </c>
      <c r="H23" s="28">
        <f>$H$27*F23</f>
        <v>135</v>
      </c>
      <c r="I23" s="28"/>
      <c r="K23" s="46"/>
    </row>
    <row r="24" spans="1:20">
      <c r="B24" s="32">
        <v>0.8</v>
      </c>
      <c r="C24" s="28">
        <f>$C$23*B24</f>
        <v>296</v>
      </c>
      <c r="D24" s="28"/>
      <c r="E24" s="28">
        <f>$E$23*B24</f>
        <v>320</v>
      </c>
      <c r="F24" s="18">
        <v>4</v>
      </c>
      <c r="G24" s="28">
        <v>104.8</v>
      </c>
      <c r="H24" s="28">
        <f>$H$27*F24</f>
        <v>108</v>
      </c>
      <c r="I24" s="28"/>
    </row>
    <row r="25" spans="1:20">
      <c r="B25" s="32">
        <v>1.2</v>
      </c>
      <c r="C25" s="28">
        <f>$C$23*B25</f>
        <v>444</v>
      </c>
      <c r="D25" s="28"/>
      <c r="E25" s="28">
        <f>$E$23*B25</f>
        <v>480</v>
      </c>
      <c r="F25" s="18">
        <v>3</v>
      </c>
      <c r="G25" s="28">
        <v>78.599999999999994</v>
      </c>
      <c r="H25" s="28">
        <f>$H$27*F25</f>
        <v>81</v>
      </c>
      <c r="I25" s="28"/>
      <c r="K25" s="46"/>
    </row>
    <row r="26" spans="1:20">
      <c r="B26" s="32">
        <v>0.65</v>
      </c>
      <c r="C26" s="28">
        <f>$C$23*B26</f>
        <v>240.5</v>
      </c>
      <c r="D26" s="28"/>
      <c r="E26" s="28">
        <f>$E$23*B26</f>
        <v>260</v>
      </c>
      <c r="F26" s="30">
        <v>2</v>
      </c>
      <c r="G26" s="28">
        <v>52.4</v>
      </c>
      <c r="H26" s="28">
        <f>$H$27*F26</f>
        <v>54</v>
      </c>
      <c r="I26" s="28"/>
      <c r="K26" s="46"/>
    </row>
    <row r="27" spans="1:20">
      <c r="F27" s="30">
        <v>1</v>
      </c>
      <c r="G27" s="28">
        <v>26.2</v>
      </c>
      <c r="H27" s="28">
        <v>27</v>
      </c>
      <c r="I27" s="28"/>
      <c r="K27" s="46"/>
    </row>
    <row r="28" spans="1:20">
      <c r="K28" s="46"/>
    </row>
    <row r="29" spans="1:20">
      <c r="K29" s="18">
        <f>50*0.8</f>
        <v>40</v>
      </c>
    </row>
  </sheetData>
  <mergeCells count="11">
    <mergeCell ref="B1:C1"/>
    <mergeCell ref="B2:C2"/>
    <mergeCell ref="B3:C3"/>
    <mergeCell ref="F1:G1"/>
    <mergeCell ref="F2:G2"/>
    <mergeCell ref="F3:G3"/>
    <mergeCell ref="G10:M10"/>
    <mergeCell ref="N10:O10"/>
    <mergeCell ref="B6:E6"/>
    <mergeCell ref="B5:E5"/>
    <mergeCell ref="B7:E7"/>
  </mergeCells>
  <phoneticPr fontId="0" type="noConversion"/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</vt:lpstr>
      <vt:lpstr>Dati</vt:lpstr>
    </vt:vector>
  </TitlesOfParts>
  <Company>Comune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Amadeig</dc:creator>
  <cp:lastModifiedBy>battilanip</cp:lastModifiedBy>
  <cp:lastPrinted>2016-04-15T09:07:06Z</cp:lastPrinted>
  <dcterms:created xsi:type="dcterms:W3CDTF">2004-07-12T09:02:42Z</dcterms:created>
  <dcterms:modified xsi:type="dcterms:W3CDTF">2021-05-13T13:56:28Z</dcterms:modified>
</cp:coreProperties>
</file>