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 codeName="{B6124F1A-AFFB-F854-7757-9A1D4C6FC43C}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Server\documenti_in_rete\PER DSGA TOSO MASSIMO\ACQUISTI\Tecnologie Server 3\"/>
    </mc:Choice>
  </mc:AlternateContent>
  <xr:revisionPtr revIDLastSave="0" documentId="13_ncr:1_{25A77126-E1FD-43AF-AA90-5AB7E549CFD4}" xr6:coauthVersionLast="47" xr6:coauthVersionMax="47" xr10:uidLastSave="{00000000-0000-0000-0000-000000000000}"/>
  <workbookProtection workbookAlgorithmName="SHA-512" workbookHashValue="iSnFR0AU7LIzorY7duZPSc2L+XTboV5qP0f/N7aw8QyJt/eOaYO21AGKVasD2XnHVDWKWy8ts6Pw/q5q9z93cg==" workbookSaltValue="2COeqb8ZEMWU5SR62XJJnA==" workbookSpinCount="100000" lockStructure="1"/>
  <bookViews>
    <workbookView xWindow="-120" yWindow="-120" windowWidth="29040" windowHeight="15840" xr2:uid="{00000000-000D-0000-FFFF-FFFF00000000}"/>
  </bookViews>
  <sheets>
    <sheet name="Lotto1_T340_1" sheetId="1" r:id="rId1"/>
    <sheet name="Lotto1_T340_2" sheetId="7" r:id="rId2"/>
    <sheet name="Lotto1_T340_3" sheetId="8" r:id="rId3"/>
    <sheet name="ConfigurationTS3L1" sheetId="2" state="hidden" r:id="rId4"/>
    <sheet name="Tabella_prezzi" sheetId="4" state="hidden" r:id="rId5"/>
    <sheet name="Riepilogo" sheetId="5" r:id="rId6"/>
    <sheet name="Configurazione" sheetId="6" r:id="rId7"/>
  </sheets>
  <definedNames>
    <definedName name="_xlnm._FilterDatabase" localSheetId="6" hidden="1">Configurazione!$V$1:$V$64</definedName>
    <definedName name="_xlnm._FilterDatabase" localSheetId="5" hidden="1">Riepilogo!$J$1:$J$68</definedName>
    <definedName name="TS3L1_ALL">ConfigurationTS3L1!$A$2:$M$300</definedName>
    <definedName name="TS3L1_BEZEL">ConfigurationTS3L1!$A$62:$M$64</definedName>
    <definedName name="TS3L1_DVD">ConfigurationTS3L1!$A$67:$M$69</definedName>
    <definedName name="TS3L1_GUI">ConfigurationTS3L1!$A$85:$M$86</definedName>
    <definedName name="TS3L1_HDD">ConfigurationTS3L1!$A$18:$M$24</definedName>
    <definedName name="TS3L1_KYHDD">ConfigurationTS3L1!$A$76:$M$77</definedName>
    <definedName name="TS3L1_OS">ConfigurationTS3L1!$A$13:$M$15</definedName>
    <definedName name="TS3L1_PCI1">ConfigurationTS3L1!$A$32:$M$32</definedName>
    <definedName name="TS3L1_PCI2">ConfigurationTS3L1!$A$35:$M$36</definedName>
    <definedName name="TS3L1_PCI3">ConfigurationTS3L1!$A$47:$M$48</definedName>
    <definedName name="TS3L1_PCI4">ConfigurationTS3L1!$A$51:$M$52</definedName>
    <definedName name="TS3L1_PSU">ConfigurationTS3L1!$A$27:$M$29</definedName>
    <definedName name="TS3L1_RAM">ConfigurationTS3L1!$A$7:$M$10</definedName>
    <definedName name="TS3L1_UPS">ConfigurationTS3L1!$A$81:$M$82</definedName>
    <definedName name="TS3L1_WARRANTY">ConfigurationTS3L1!$A$72:$M$73</definedName>
    <definedName name="TS3L11PSU">ConfigurationTS3L1!$B$109</definedName>
    <definedName name="TS3L12PSU">ConfigurationTS3L1!$B$110</definedName>
    <definedName name="TS3L1PSU12_1">INDIRECT(Lotto1_T340_1!$L$42)</definedName>
    <definedName name="TS3L1PSU12_2">INDIRECT(Lotto1_T340_2!$L$42)</definedName>
    <definedName name="TS3L1PSU12_3">INDIRECT(Lotto1_T340_3!$L$42)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6" l="1"/>
  <c r="E23" i="6"/>
  <c r="B23" i="6"/>
  <c r="V39" i="5" l="1"/>
  <c r="T39" i="5"/>
  <c r="R39" i="5"/>
  <c r="D95" i="8" l="1"/>
  <c r="D92" i="8"/>
  <c r="D88" i="8"/>
  <c r="D85" i="8"/>
  <c r="D43" i="8"/>
  <c r="D25" i="8"/>
  <c r="D16" i="8"/>
  <c r="D10" i="8"/>
  <c r="D7" i="8"/>
  <c r="D5" i="8"/>
  <c r="D95" i="7"/>
  <c r="D92" i="7"/>
  <c r="D88" i="7"/>
  <c r="D85" i="7"/>
  <c r="D43" i="7"/>
  <c r="D25" i="7"/>
  <c r="D16" i="7"/>
  <c r="D10" i="7"/>
  <c r="D7" i="7"/>
  <c r="D5" i="7"/>
  <c r="D95" i="1"/>
  <c r="D92" i="1"/>
  <c r="D88" i="1"/>
  <c r="D85" i="1"/>
  <c r="D43" i="1"/>
  <c r="D25" i="1"/>
  <c r="D16" i="1"/>
  <c r="D10" i="1"/>
  <c r="D7" i="1"/>
  <c r="D5" i="1"/>
  <c r="J9" i="2" l="1"/>
  <c r="J10" i="2"/>
  <c r="J8" i="2"/>
  <c r="O83" i="8" l="1"/>
  <c r="O80" i="8"/>
  <c r="K50" i="8"/>
  <c r="O41" i="8"/>
  <c r="O83" i="7"/>
  <c r="O80" i="7"/>
  <c r="K50" i="7"/>
  <c r="O41" i="7"/>
  <c r="J83" i="8" l="1"/>
  <c r="J80" i="8"/>
  <c r="J41" i="8"/>
  <c r="O83" i="1"/>
  <c r="J83" i="1"/>
  <c r="O80" i="1"/>
  <c r="J80" i="1"/>
  <c r="O41" i="1"/>
  <c r="J41" i="1"/>
  <c r="L62" i="2" l="1"/>
  <c r="F89" i="8" l="1"/>
  <c r="F89" i="7"/>
  <c r="F89" i="1" l="1"/>
  <c r="K3" i="4" l="1"/>
  <c r="G37" i="2" l="1"/>
  <c r="I37" i="2"/>
  <c r="L37" i="2"/>
  <c r="M37" i="2"/>
  <c r="D38" i="2"/>
  <c r="H38" i="2"/>
  <c r="I38" i="2"/>
  <c r="K38" i="2"/>
  <c r="M38" i="2"/>
  <c r="D39" i="2"/>
  <c r="H39" i="2"/>
  <c r="I39" i="2"/>
  <c r="K39" i="2"/>
  <c r="M39" i="2"/>
  <c r="D40" i="2"/>
  <c r="H40" i="2"/>
  <c r="I40" i="2"/>
  <c r="K40" i="2"/>
  <c r="M40" i="2"/>
  <c r="D41" i="2"/>
  <c r="H41" i="2"/>
  <c r="I41" i="2"/>
  <c r="K41" i="2"/>
  <c r="M41" i="2"/>
  <c r="D42" i="2"/>
  <c r="H42" i="2"/>
  <c r="I42" i="2"/>
  <c r="K42" i="2"/>
  <c r="M42" i="2"/>
  <c r="D43" i="2"/>
  <c r="H43" i="2"/>
  <c r="I43" i="2"/>
  <c r="K43" i="2"/>
  <c r="M43" i="2"/>
  <c r="D44" i="2"/>
  <c r="H44" i="2"/>
  <c r="I44" i="2"/>
  <c r="K44" i="2"/>
  <c r="M44" i="2"/>
  <c r="G53" i="2"/>
  <c r="I53" i="2"/>
  <c r="L53" i="2"/>
  <c r="M53" i="2"/>
  <c r="D54" i="2"/>
  <c r="H54" i="2"/>
  <c r="I54" i="2"/>
  <c r="K54" i="2"/>
  <c r="M54" i="2"/>
  <c r="D55" i="2"/>
  <c r="H55" i="2"/>
  <c r="I55" i="2"/>
  <c r="K55" i="2"/>
  <c r="M55" i="2"/>
  <c r="D56" i="2"/>
  <c r="H56" i="2"/>
  <c r="I56" i="2"/>
  <c r="K56" i="2"/>
  <c r="M56" i="2"/>
  <c r="V42" i="5" l="1"/>
  <c r="V43" i="5"/>
  <c r="V44" i="5"/>
  <c r="V45" i="5"/>
  <c r="V41" i="5"/>
  <c r="V37" i="5"/>
  <c r="V38" i="5"/>
  <c r="V35" i="5"/>
  <c r="V36" i="5"/>
  <c r="T42" i="5"/>
  <c r="T43" i="5"/>
  <c r="T44" i="5"/>
  <c r="T45" i="5"/>
  <c r="R45" i="5"/>
  <c r="R44" i="5"/>
  <c r="R43" i="5"/>
  <c r="R42" i="5"/>
  <c r="T41" i="5"/>
  <c r="R41" i="5"/>
  <c r="T35" i="5"/>
  <c r="T37" i="5"/>
  <c r="T38" i="5"/>
  <c r="T36" i="5"/>
  <c r="R37" i="5"/>
  <c r="R38" i="5"/>
  <c r="R36" i="5"/>
  <c r="R35" i="5"/>
  <c r="K101" i="2"/>
  <c r="I101" i="2"/>
  <c r="H101" i="2"/>
  <c r="A101" i="2"/>
  <c r="K100" i="2"/>
  <c r="I100" i="2"/>
  <c r="H100" i="2"/>
  <c r="A100" i="2"/>
  <c r="K99" i="2"/>
  <c r="I99" i="2"/>
  <c r="H99" i="2"/>
  <c r="A99" i="2"/>
  <c r="K98" i="2"/>
  <c r="I98" i="2"/>
  <c r="H98" i="2"/>
  <c r="A98" i="2"/>
  <c r="K97" i="2"/>
  <c r="I97" i="2"/>
  <c r="H97" i="2"/>
  <c r="A97" i="2"/>
  <c r="K94" i="2"/>
  <c r="I94" i="2"/>
  <c r="H94" i="2"/>
  <c r="D94" i="2"/>
  <c r="A94" i="2" s="1"/>
  <c r="K93" i="2"/>
  <c r="I93" i="2"/>
  <c r="H93" i="2"/>
  <c r="D93" i="2"/>
  <c r="A93" i="2" s="1"/>
  <c r="K92" i="2"/>
  <c r="I92" i="2"/>
  <c r="H92" i="2"/>
  <c r="D92" i="2"/>
  <c r="A92" i="2" s="1"/>
  <c r="M101" i="2"/>
  <c r="M100" i="2"/>
  <c r="M99" i="2"/>
  <c r="M98" i="2"/>
  <c r="M97" i="2"/>
  <c r="M94" i="2"/>
  <c r="M93" i="2"/>
  <c r="M92" i="2"/>
  <c r="A89" i="2"/>
  <c r="I89" i="2"/>
  <c r="H89" i="2"/>
  <c r="K89" i="2"/>
  <c r="M89" i="2"/>
  <c r="H64" i="2" l="1"/>
  <c r="D86" i="2" l="1"/>
  <c r="D82" i="2"/>
  <c r="D78" i="2"/>
  <c r="D77" i="2"/>
  <c r="D73" i="2"/>
  <c r="D52" i="2"/>
  <c r="D48" i="2"/>
  <c r="D36" i="2"/>
  <c r="D29" i="2"/>
  <c r="D24" i="2"/>
  <c r="D23" i="2"/>
  <c r="D22" i="2"/>
  <c r="D21" i="2"/>
  <c r="D20" i="2"/>
  <c r="D19" i="2"/>
  <c r="D15" i="2"/>
  <c r="D14" i="2"/>
  <c r="D10" i="2"/>
  <c r="D9" i="2"/>
  <c r="D8" i="2"/>
  <c r="D7" i="2" s="1"/>
  <c r="D3" i="2"/>
  <c r="H86" i="2" l="1"/>
  <c r="H82" i="2"/>
  <c r="H78" i="2"/>
  <c r="H77" i="2"/>
  <c r="H73" i="2"/>
  <c r="H69" i="2"/>
  <c r="H52" i="2"/>
  <c r="H48" i="2"/>
  <c r="H36" i="2"/>
  <c r="H29" i="2"/>
  <c r="H24" i="2"/>
  <c r="H23" i="2"/>
  <c r="H22" i="2"/>
  <c r="H21" i="2"/>
  <c r="H20" i="2"/>
  <c r="H19" i="2"/>
  <c r="H14" i="2"/>
  <c r="H10" i="2"/>
  <c r="H9" i="2"/>
  <c r="H8" i="2"/>
  <c r="I86" i="2"/>
  <c r="I82" i="2"/>
  <c r="I78" i="2"/>
  <c r="I77" i="2"/>
  <c r="I73" i="2"/>
  <c r="I69" i="2"/>
  <c r="I64" i="2"/>
  <c r="I58" i="2"/>
  <c r="I52" i="2"/>
  <c r="I48" i="2"/>
  <c r="I36" i="2"/>
  <c r="I29" i="2"/>
  <c r="I24" i="2"/>
  <c r="I23" i="2"/>
  <c r="I22" i="2"/>
  <c r="I21" i="2"/>
  <c r="I20" i="2"/>
  <c r="I19" i="2"/>
  <c r="I15" i="2"/>
  <c r="I14" i="2"/>
  <c r="I10" i="2"/>
  <c r="I9" i="2"/>
  <c r="I8" i="2"/>
  <c r="I3" i="2"/>
  <c r="K69" i="2"/>
  <c r="K64" i="2"/>
  <c r="K58" i="2"/>
  <c r="K29" i="2"/>
  <c r="J86" i="2"/>
  <c r="J82" i="2"/>
  <c r="J78" i="2"/>
  <c r="J77" i="2"/>
  <c r="J73" i="2"/>
  <c r="J52" i="2"/>
  <c r="J48" i="2"/>
  <c r="J36" i="2"/>
  <c r="J24" i="2"/>
  <c r="J23" i="2"/>
  <c r="J22" i="2"/>
  <c r="J21" i="2"/>
  <c r="J20" i="2"/>
  <c r="J19" i="2"/>
  <c r="J15" i="2"/>
  <c r="J14" i="2"/>
  <c r="J3" i="2"/>
  <c r="M86" i="2"/>
  <c r="M82" i="2"/>
  <c r="M78" i="2"/>
  <c r="M77" i="2"/>
  <c r="N77" i="2" s="1"/>
  <c r="M73" i="2"/>
  <c r="M69" i="2"/>
  <c r="M64" i="2"/>
  <c r="M58" i="2"/>
  <c r="M52" i="2"/>
  <c r="M48" i="2"/>
  <c r="M36" i="2"/>
  <c r="M29" i="2"/>
  <c r="M24" i="2"/>
  <c r="M23" i="2"/>
  <c r="M22" i="2"/>
  <c r="M21" i="2"/>
  <c r="M20" i="2"/>
  <c r="M19" i="2"/>
  <c r="M15" i="2"/>
  <c r="M14" i="2"/>
  <c r="M10" i="2"/>
  <c r="M9" i="2"/>
  <c r="M8" i="2"/>
  <c r="M3" i="2"/>
  <c r="K70" i="7" l="1"/>
  <c r="E70" i="7" s="1"/>
  <c r="K70" i="8"/>
  <c r="K70" i="1"/>
  <c r="F8" i="8"/>
  <c r="E8" i="8"/>
  <c r="F8" i="7"/>
  <c r="E8" i="7"/>
  <c r="E8" i="1"/>
  <c r="F8" i="1"/>
  <c r="F20" i="8" l="1"/>
  <c r="F20" i="7"/>
  <c r="Q10" i="5" l="1"/>
  <c r="P10" i="5"/>
  <c r="O10" i="5"/>
  <c r="H5" i="8" l="1"/>
  <c r="H5" i="7"/>
  <c r="H5" i="1"/>
  <c r="M9" i="5"/>
  <c r="O18" i="5"/>
  <c r="O13" i="5"/>
  <c r="M18" i="5"/>
  <c r="M13" i="5"/>
  <c r="M16" i="5"/>
  <c r="M11" i="5"/>
  <c r="M6" i="5"/>
  <c r="M4" i="5"/>
  <c r="M2" i="5"/>
  <c r="M7" i="5" l="1"/>
  <c r="N7" i="5" s="1"/>
  <c r="E6" i="5"/>
  <c r="N9" i="5"/>
  <c r="Q11" i="5" l="1"/>
  <c r="E4" i="5"/>
  <c r="M32" i="2" l="1"/>
  <c r="L32" i="2"/>
  <c r="I32" i="2"/>
  <c r="G32" i="2"/>
  <c r="M51" i="2"/>
  <c r="L51" i="2"/>
  <c r="I51" i="2"/>
  <c r="G51" i="2"/>
  <c r="A51" i="2"/>
  <c r="G58" i="2"/>
  <c r="G62" i="2"/>
  <c r="I62" i="2"/>
  <c r="M62" i="2"/>
  <c r="G63" i="2"/>
  <c r="I63" i="2"/>
  <c r="L63" i="2"/>
  <c r="M63" i="2"/>
  <c r="K59" i="8" l="1"/>
  <c r="K59" i="7"/>
  <c r="H44" i="6"/>
  <c r="E44" i="6"/>
  <c r="B44" i="6"/>
  <c r="V46" i="5"/>
  <c r="V23" i="5"/>
  <c r="O22" i="5"/>
  <c r="K86" i="8"/>
  <c r="J86" i="8"/>
  <c r="E80" i="8"/>
  <c r="E70" i="8"/>
  <c r="J59" i="8"/>
  <c r="J50" i="8"/>
  <c r="F50" i="8"/>
  <c r="V31" i="5" s="1"/>
  <c r="E50" i="8"/>
  <c r="V24" i="5"/>
  <c r="L8" i="8"/>
  <c r="U23" i="5" s="1"/>
  <c r="N22" i="5"/>
  <c r="T23" i="5"/>
  <c r="K86" i="7"/>
  <c r="J83" i="7"/>
  <c r="J80" i="7"/>
  <c r="F80" i="7"/>
  <c r="E80" i="7"/>
  <c r="J59" i="7"/>
  <c r="F50" i="7"/>
  <c r="T31" i="5" s="1"/>
  <c r="E50" i="7"/>
  <c r="J41" i="7"/>
  <c r="T24" i="5"/>
  <c r="L8" i="7"/>
  <c r="S23" i="5" s="1"/>
  <c r="M22" i="5"/>
  <c r="R23" i="5"/>
  <c r="M57" i="5" l="1"/>
  <c r="B36" i="6" s="1"/>
  <c r="M62" i="5"/>
  <c r="B41" i="6" s="1"/>
  <c r="M55" i="5"/>
  <c r="B34" i="6" s="1"/>
  <c r="M59" i="5"/>
  <c r="B38" i="6" s="1"/>
  <c r="M54" i="5"/>
  <c r="B33" i="6" s="1"/>
  <c r="M60" i="5"/>
  <c r="B39" i="6" s="1"/>
  <c r="M56" i="5"/>
  <c r="B35" i="6" s="1"/>
  <c r="M61" i="5"/>
  <c r="B40" i="6" s="1"/>
  <c r="M58" i="5"/>
  <c r="B37" i="6" s="1"/>
  <c r="O59" i="5"/>
  <c r="H38" i="6" s="1"/>
  <c r="O61" i="5"/>
  <c r="H40" i="6" s="1"/>
  <c r="O56" i="5"/>
  <c r="H35" i="6" s="1"/>
  <c r="O58" i="5"/>
  <c r="H37" i="6" s="1"/>
  <c r="O54" i="5"/>
  <c r="H33" i="6" s="1"/>
  <c r="O60" i="5"/>
  <c r="H39" i="6" s="1"/>
  <c r="O62" i="5"/>
  <c r="H41" i="6" s="1"/>
  <c r="O55" i="5"/>
  <c r="H34" i="6" s="1"/>
  <c r="O57" i="5"/>
  <c r="H36" i="6" s="1"/>
  <c r="E2" i="6"/>
  <c r="N61" i="5"/>
  <c r="E40" i="6" s="1"/>
  <c r="N56" i="5"/>
  <c r="E35" i="6" s="1"/>
  <c r="N60" i="5"/>
  <c r="E39" i="6" s="1"/>
  <c r="N55" i="5"/>
  <c r="E34" i="6" s="1"/>
  <c r="N59" i="5"/>
  <c r="E38" i="6" s="1"/>
  <c r="N58" i="5"/>
  <c r="E37" i="6" s="1"/>
  <c r="N62" i="5"/>
  <c r="E41" i="6" s="1"/>
  <c r="N57" i="5"/>
  <c r="E36" i="6" s="1"/>
  <c r="N54" i="5"/>
  <c r="H2" i="6"/>
  <c r="T46" i="5"/>
  <c r="B2" i="6"/>
  <c r="N10" i="5"/>
  <c r="M10" i="5" s="1"/>
  <c r="E7" i="5" s="1"/>
  <c r="M51" i="5"/>
  <c r="N51" i="5"/>
  <c r="E30" i="6" s="1"/>
  <c r="O51" i="5"/>
  <c r="H30" i="6" s="1"/>
  <c r="E33" i="6" l="1"/>
  <c r="F33" i="6" s="1"/>
  <c r="B30" i="6"/>
  <c r="P54" i="5"/>
  <c r="B54" i="5" s="1"/>
  <c r="J54" i="5" s="1"/>
  <c r="I41" i="6"/>
  <c r="I35" i="6"/>
  <c r="I37" i="6"/>
  <c r="I39" i="6"/>
  <c r="I40" i="6"/>
  <c r="I36" i="6"/>
  <c r="I33" i="6"/>
  <c r="I38" i="6"/>
  <c r="F37" i="6"/>
  <c r="P58" i="5"/>
  <c r="F35" i="6"/>
  <c r="P56" i="5"/>
  <c r="F38" i="6"/>
  <c r="P59" i="5"/>
  <c r="F40" i="6"/>
  <c r="P61" i="5"/>
  <c r="F41" i="6"/>
  <c r="P62" i="5"/>
  <c r="F39" i="6"/>
  <c r="P60" i="5"/>
  <c r="F36" i="6"/>
  <c r="P57" i="5"/>
  <c r="F34" i="6"/>
  <c r="P55" i="5"/>
  <c r="C34" i="6"/>
  <c r="C36" i="6"/>
  <c r="C33" i="6"/>
  <c r="C40" i="6"/>
  <c r="C37" i="6"/>
  <c r="C39" i="6"/>
  <c r="C38" i="6"/>
  <c r="C35" i="6"/>
  <c r="C41" i="6"/>
  <c r="L8" i="1"/>
  <c r="Q23" i="5" s="1"/>
  <c r="J86" i="7"/>
  <c r="J50" i="7"/>
  <c r="J23" i="7"/>
  <c r="J23" i="8"/>
  <c r="J20" i="7"/>
  <c r="O33" i="6" l="1"/>
  <c r="R30" i="6"/>
  <c r="R34" i="6"/>
  <c r="I34" i="6"/>
  <c r="O30" i="6"/>
  <c r="F54" i="5"/>
  <c r="D54" i="5"/>
  <c r="C54" i="5"/>
  <c r="G54" i="5" s="1"/>
  <c r="E54" i="5"/>
  <c r="R41" i="6"/>
  <c r="R38" i="6"/>
  <c r="R39" i="6"/>
  <c r="R40" i="6"/>
  <c r="R33" i="6"/>
  <c r="R37" i="6"/>
  <c r="R36" i="6"/>
  <c r="R35" i="6"/>
  <c r="O36" i="6"/>
  <c r="O38" i="6"/>
  <c r="O35" i="6"/>
  <c r="O41" i="6"/>
  <c r="O34" i="6"/>
  <c r="O39" i="6"/>
  <c r="O40" i="6"/>
  <c r="O37" i="6"/>
  <c r="L35" i="6"/>
  <c r="L40" i="6"/>
  <c r="L38" i="6"/>
  <c r="L33" i="6"/>
  <c r="L39" i="6"/>
  <c r="L36" i="6"/>
  <c r="L41" i="6"/>
  <c r="L37" i="6"/>
  <c r="L34" i="6"/>
  <c r="U37" i="6" l="1"/>
  <c r="V37" i="6" s="1"/>
  <c r="U33" i="6"/>
  <c r="V33" i="6" s="1"/>
  <c r="U36" i="6"/>
  <c r="V36" i="6" s="1"/>
  <c r="U40" i="6"/>
  <c r="V40" i="6" s="1"/>
  <c r="U34" i="6"/>
  <c r="V34" i="6" s="1"/>
  <c r="U35" i="6"/>
  <c r="V35" i="6" s="1"/>
  <c r="U41" i="6"/>
  <c r="V41" i="6" s="1"/>
  <c r="U39" i="6"/>
  <c r="V39" i="6" s="1"/>
  <c r="U38" i="6"/>
  <c r="V38" i="6" s="1"/>
  <c r="P51" i="5"/>
  <c r="L30" i="6" l="1"/>
  <c r="U30" i="6" s="1"/>
  <c r="V30" i="6" s="1"/>
  <c r="B51" i="5"/>
  <c r="J51" i="5" s="1"/>
  <c r="C51" i="5" l="1"/>
  <c r="I30" i="6" s="1"/>
  <c r="F51" i="5"/>
  <c r="D51" i="5"/>
  <c r="E51" i="5"/>
  <c r="C30" i="6" l="1"/>
  <c r="F30" i="6"/>
  <c r="G51" i="5"/>
  <c r="M85" i="2" l="1"/>
  <c r="L85" i="2"/>
  <c r="I85" i="2"/>
  <c r="G85" i="2"/>
  <c r="A85" i="2"/>
  <c r="J96" i="1" s="1"/>
  <c r="A81" i="2"/>
  <c r="M81" i="2"/>
  <c r="L81" i="2"/>
  <c r="I81" i="2"/>
  <c r="G81" i="2"/>
  <c r="E93" i="1" l="1"/>
  <c r="J96" i="8"/>
  <c r="J96" i="7"/>
  <c r="F96" i="8"/>
  <c r="V53" i="5" s="1"/>
  <c r="F96" i="7"/>
  <c r="T53" i="5" s="1"/>
  <c r="E96" i="8"/>
  <c r="E96" i="7"/>
  <c r="K96" i="8"/>
  <c r="K96" i="7"/>
  <c r="K96" i="1"/>
  <c r="E96" i="1"/>
  <c r="K93" i="8"/>
  <c r="K93" i="7"/>
  <c r="E93" i="8"/>
  <c r="J93" i="8"/>
  <c r="J93" i="7"/>
  <c r="F93" i="8"/>
  <c r="V50" i="5" s="1"/>
  <c r="F93" i="7"/>
  <c r="T50" i="5" s="1"/>
  <c r="E93" i="7"/>
  <c r="J93" i="1"/>
  <c r="K93" i="1"/>
  <c r="F93" i="1"/>
  <c r="R50" i="5" s="1"/>
  <c r="F96" i="1"/>
  <c r="R53" i="5" s="1"/>
  <c r="M68" i="2"/>
  <c r="L68" i="2"/>
  <c r="I68" i="2"/>
  <c r="G68" i="2"/>
  <c r="M28" i="2"/>
  <c r="L28" i="2"/>
  <c r="I28" i="2"/>
  <c r="G28" i="2"/>
  <c r="K86" i="1"/>
  <c r="J86" i="1"/>
  <c r="F80" i="1"/>
  <c r="R46" i="5" s="1"/>
  <c r="E80" i="1"/>
  <c r="K59" i="1"/>
  <c r="J59" i="1"/>
  <c r="F59" i="1"/>
  <c r="R34" i="5" s="1"/>
  <c r="K50" i="1"/>
  <c r="J50" i="1"/>
  <c r="F50" i="1"/>
  <c r="R31" i="5" s="1"/>
  <c r="E50" i="1"/>
  <c r="J23" i="1"/>
  <c r="F20" i="1"/>
  <c r="R24" i="5" s="1"/>
  <c r="M76" i="2"/>
  <c r="L76" i="2"/>
  <c r="I76" i="2"/>
  <c r="G76" i="2"/>
  <c r="A76" i="2"/>
  <c r="M72" i="2"/>
  <c r="L72" i="2"/>
  <c r="I72" i="2"/>
  <c r="G72" i="2"/>
  <c r="M67" i="2"/>
  <c r="L67" i="2"/>
  <c r="I67" i="2"/>
  <c r="G67" i="2"/>
  <c r="M47" i="2"/>
  <c r="L47" i="2"/>
  <c r="I47" i="2"/>
  <c r="G47" i="2"/>
  <c r="A47" i="2"/>
  <c r="M35" i="2"/>
  <c r="L35" i="2"/>
  <c r="I35" i="2"/>
  <c r="G35" i="2"/>
  <c r="A35" i="2"/>
  <c r="M27" i="2"/>
  <c r="L27" i="2"/>
  <c r="I27" i="2"/>
  <c r="G27" i="2"/>
  <c r="M18" i="2"/>
  <c r="L18" i="2"/>
  <c r="I18" i="2"/>
  <c r="G18" i="2"/>
  <c r="A18" i="2"/>
  <c r="M13" i="2"/>
  <c r="E23" i="1" s="1"/>
  <c r="L13" i="2"/>
  <c r="I13" i="2"/>
  <c r="G13" i="2"/>
  <c r="F23" i="1" s="1"/>
  <c r="R25" i="5" s="1"/>
  <c r="J20" i="1"/>
  <c r="J20" i="8"/>
  <c r="M7" i="2"/>
  <c r="E20" i="1" s="1"/>
  <c r="L7" i="2"/>
  <c r="I7" i="2"/>
  <c r="K56" i="7" l="1"/>
  <c r="K56" i="8"/>
  <c r="Q83" i="8"/>
  <c r="M83" i="8" s="1"/>
  <c r="L75" i="8"/>
  <c r="L67" i="8"/>
  <c r="L59" i="8"/>
  <c r="Q41" i="8"/>
  <c r="L76" i="7"/>
  <c r="S44" i="5" s="1"/>
  <c r="L70" i="7"/>
  <c r="K75" i="8"/>
  <c r="K67" i="8"/>
  <c r="K76" i="7"/>
  <c r="K62" i="7"/>
  <c r="K74" i="7"/>
  <c r="Q80" i="8"/>
  <c r="M80" i="8" s="1"/>
  <c r="L74" i="8"/>
  <c r="U42" i="5" s="1"/>
  <c r="L66" i="8"/>
  <c r="L56" i="8"/>
  <c r="Q83" i="7"/>
  <c r="M83" i="7" s="1"/>
  <c r="L75" i="7"/>
  <c r="L67" i="7"/>
  <c r="S38" i="5" s="1"/>
  <c r="L59" i="7"/>
  <c r="Q41" i="7"/>
  <c r="K67" i="7"/>
  <c r="E67" i="7" s="1"/>
  <c r="K74" i="8"/>
  <c r="E74" i="8" s="1"/>
  <c r="K66" i="8"/>
  <c r="K75" i="7"/>
  <c r="L77" i="8"/>
  <c r="L73" i="8"/>
  <c r="U41" i="5" s="1"/>
  <c r="L65" i="8"/>
  <c r="L53" i="8"/>
  <c r="Q80" i="7"/>
  <c r="M80" i="7" s="1"/>
  <c r="L74" i="7"/>
  <c r="S42" i="5" s="1"/>
  <c r="L66" i="7"/>
  <c r="L56" i="7"/>
  <c r="K73" i="8"/>
  <c r="K77" i="8"/>
  <c r="L76" i="8"/>
  <c r="L70" i="8"/>
  <c r="L62" i="8"/>
  <c r="U35" i="5" s="1"/>
  <c r="L50" i="8"/>
  <c r="L77" i="7"/>
  <c r="L73" i="7"/>
  <c r="L65" i="7"/>
  <c r="L53" i="7"/>
  <c r="L50" i="7"/>
  <c r="K65" i="8"/>
  <c r="K76" i="8"/>
  <c r="E76" i="8" s="1"/>
  <c r="K62" i="8"/>
  <c r="E62" i="8" s="1"/>
  <c r="K77" i="7"/>
  <c r="K73" i="7"/>
  <c r="K65" i="7"/>
  <c r="L62" i="7"/>
  <c r="S35" i="5" s="1"/>
  <c r="K66" i="7"/>
  <c r="Q80" i="1"/>
  <c r="M80" i="1" s="1"/>
  <c r="Q83" i="1"/>
  <c r="M83" i="1" s="1"/>
  <c r="Q41" i="1"/>
  <c r="K53" i="1"/>
  <c r="K53" i="8"/>
  <c r="K53" i="7"/>
  <c r="F38" i="1"/>
  <c r="R29" i="5" s="1"/>
  <c r="E67" i="8"/>
  <c r="E65" i="8"/>
  <c r="S36" i="5"/>
  <c r="K74" i="1"/>
  <c r="E74" i="1" s="1"/>
  <c r="K65" i="1"/>
  <c r="E65" i="1" s="1"/>
  <c r="E77" i="8"/>
  <c r="E73" i="8"/>
  <c r="S45" i="5"/>
  <c r="S41" i="5"/>
  <c r="K76" i="1"/>
  <c r="E76" i="1" s="1"/>
  <c r="L62" i="1"/>
  <c r="Q35" i="5" s="1"/>
  <c r="U44" i="5"/>
  <c r="U38" i="5"/>
  <c r="U36" i="5"/>
  <c r="E75" i="7"/>
  <c r="E66" i="7"/>
  <c r="K66" i="1"/>
  <c r="E66" i="1" s="1"/>
  <c r="U45" i="5"/>
  <c r="U43" i="5"/>
  <c r="U37" i="5"/>
  <c r="E76" i="7"/>
  <c r="E74" i="7"/>
  <c r="E65" i="7"/>
  <c r="K77" i="1"/>
  <c r="E77" i="1" s="1"/>
  <c r="K73" i="1"/>
  <c r="E73" i="1" s="1"/>
  <c r="K62" i="1"/>
  <c r="E62" i="1" s="1"/>
  <c r="E75" i="8"/>
  <c r="E66" i="8"/>
  <c r="S43" i="5"/>
  <c r="S37" i="5"/>
  <c r="K67" i="1"/>
  <c r="E67" i="1" s="1"/>
  <c r="E77" i="7"/>
  <c r="E73" i="7"/>
  <c r="E62" i="7"/>
  <c r="K75" i="1"/>
  <c r="E75" i="1" s="1"/>
  <c r="L67" i="1"/>
  <c r="Q38" i="5" s="1"/>
  <c r="L74" i="1"/>
  <c r="Q42" i="5" s="1"/>
  <c r="L77" i="1"/>
  <c r="Q45" i="5" s="1"/>
  <c r="L75" i="1"/>
  <c r="Q43" i="5" s="1"/>
  <c r="L66" i="1"/>
  <c r="Q37" i="5" s="1"/>
  <c r="L76" i="1"/>
  <c r="Q44" i="5" s="1"/>
  <c r="L65" i="1"/>
  <c r="Q36" i="5" s="1"/>
  <c r="L73" i="1"/>
  <c r="Q41" i="5" s="1"/>
  <c r="E70" i="1"/>
  <c r="E86" i="8"/>
  <c r="E86" i="7"/>
  <c r="L23" i="7"/>
  <c r="S25" i="5" s="1"/>
  <c r="L23" i="8"/>
  <c r="U25" i="5" s="1"/>
  <c r="L23" i="1"/>
  <c r="Q25" i="5" s="1"/>
  <c r="E83" i="7"/>
  <c r="E83" i="8"/>
  <c r="E23" i="7"/>
  <c r="E23" i="8"/>
  <c r="F83" i="7"/>
  <c r="F83" i="8"/>
  <c r="F86" i="8"/>
  <c r="F86" i="7"/>
  <c r="E41" i="7"/>
  <c r="E41" i="8"/>
  <c r="E83" i="1"/>
  <c r="E86" i="1"/>
  <c r="E41" i="1"/>
  <c r="L20" i="7"/>
  <c r="S24" i="5" s="1"/>
  <c r="L20" i="8"/>
  <c r="U24" i="5" s="1"/>
  <c r="L20" i="1"/>
  <c r="Q24" i="5" s="1"/>
  <c r="F23" i="8"/>
  <c r="V25" i="5" s="1"/>
  <c r="F23" i="7"/>
  <c r="T25" i="5" s="1"/>
  <c r="E20" i="8"/>
  <c r="E20" i="7"/>
  <c r="F41" i="7"/>
  <c r="F41" i="8"/>
  <c r="F83" i="1"/>
  <c r="R47" i="5" s="1"/>
  <c r="F86" i="1"/>
  <c r="F41" i="1"/>
  <c r="R30" i="5" s="1"/>
  <c r="F35" i="1"/>
  <c r="R28" i="5" s="1"/>
  <c r="E32" i="1"/>
  <c r="E29" i="1"/>
  <c r="E38" i="1"/>
  <c r="J38" i="1"/>
  <c r="F32" i="1"/>
  <c r="R27" i="5" s="1"/>
  <c r="J35" i="1"/>
  <c r="F53" i="1"/>
  <c r="R32" i="5" s="1"/>
  <c r="F29" i="1"/>
  <c r="R26" i="5" s="1"/>
  <c r="J32" i="1"/>
  <c r="J29" i="1"/>
  <c r="E35" i="1"/>
  <c r="E56" i="7"/>
  <c r="F56" i="7"/>
  <c r="T33" i="5" s="1"/>
  <c r="F56" i="8"/>
  <c r="V33" i="5" s="1"/>
  <c r="E56" i="8"/>
  <c r="J56" i="7"/>
  <c r="J56" i="8"/>
  <c r="E59" i="7"/>
  <c r="E59" i="8"/>
  <c r="F56" i="1"/>
  <c r="R33" i="5" s="1"/>
  <c r="F59" i="8"/>
  <c r="V34" i="5" s="1"/>
  <c r="F59" i="7"/>
  <c r="T34" i="5" s="1"/>
  <c r="T49" i="5"/>
  <c r="V49" i="5"/>
  <c r="J53" i="1"/>
  <c r="J56" i="1"/>
  <c r="L86" i="8"/>
  <c r="U48" i="5" s="1"/>
  <c r="K38" i="8"/>
  <c r="K35" i="8"/>
  <c r="K32" i="8"/>
  <c r="K29" i="8"/>
  <c r="S34" i="5"/>
  <c r="E38" i="7"/>
  <c r="E35" i="7"/>
  <c r="E32" i="7"/>
  <c r="E29" i="7"/>
  <c r="L38" i="7"/>
  <c r="S29" i="5" s="1"/>
  <c r="L32" i="7"/>
  <c r="S27" i="5" s="1"/>
  <c r="U33" i="5"/>
  <c r="L32" i="8"/>
  <c r="U27" i="5" s="1"/>
  <c r="F38" i="7"/>
  <c r="T29" i="5" s="1"/>
  <c r="F35" i="7"/>
  <c r="T28" i="5" s="1"/>
  <c r="F38" i="8"/>
  <c r="V29" i="5" s="1"/>
  <c r="F35" i="8"/>
  <c r="V28" i="5" s="1"/>
  <c r="F32" i="8"/>
  <c r="V27" i="5" s="1"/>
  <c r="F29" i="8"/>
  <c r="V26" i="5" s="1"/>
  <c r="L86" i="7"/>
  <c r="S48" i="5" s="1"/>
  <c r="S33" i="5"/>
  <c r="S32" i="5"/>
  <c r="S31" i="5"/>
  <c r="L35" i="7"/>
  <c r="S28" i="5" s="1"/>
  <c r="L29" i="7"/>
  <c r="S26" i="5" s="1"/>
  <c r="L93" i="8"/>
  <c r="U50" i="5" s="1"/>
  <c r="U31" i="5"/>
  <c r="L35" i="8"/>
  <c r="U28" i="5" s="1"/>
  <c r="L93" i="7"/>
  <c r="S50" i="5" s="1"/>
  <c r="F29" i="7"/>
  <c r="T26" i="5" s="1"/>
  <c r="L96" i="8"/>
  <c r="U53" i="5" s="1"/>
  <c r="U34" i="5"/>
  <c r="E38" i="8"/>
  <c r="E35" i="8"/>
  <c r="E32" i="8"/>
  <c r="E29" i="8"/>
  <c r="L96" i="7"/>
  <c r="S53" i="5" s="1"/>
  <c r="K38" i="7"/>
  <c r="K35" i="7"/>
  <c r="K32" i="7"/>
  <c r="K29" i="7"/>
  <c r="U32" i="5"/>
  <c r="L38" i="8"/>
  <c r="U29" i="5" s="1"/>
  <c r="L29" i="8"/>
  <c r="U26" i="5" s="1"/>
  <c r="F32" i="7"/>
  <c r="T27" i="5" s="1"/>
  <c r="L96" i="1"/>
  <c r="Q53" i="5" s="1"/>
  <c r="L56" i="1"/>
  <c r="Q33" i="5" s="1"/>
  <c r="L38" i="1"/>
  <c r="Q29" i="5" s="1"/>
  <c r="L93" i="1"/>
  <c r="Q50" i="5" s="1"/>
  <c r="L53" i="1"/>
  <c r="Q32" i="5" s="1"/>
  <c r="L35" i="1"/>
  <c r="Q28" i="5" s="1"/>
  <c r="L59" i="1"/>
  <c r="Q34" i="5" s="1"/>
  <c r="L70" i="1"/>
  <c r="Q39" i="5" s="1"/>
  <c r="L50" i="1"/>
  <c r="Q31" i="5" s="1"/>
  <c r="L32" i="1"/>
  <c r="Q27" i="5" s="1"/>
  <c r="L86" i="1"/>
  <c r="Q48" i="5" s="1"/>
  <c r="L29" i="1"/>
  <c r="Q26" i="5" s="1"/>
  <c r="J38" i="7"/>
  <c r="J29" i="7"/>
  <c r="J29" i="8"/>
  <c r="J32" i="8"/>
  <c r="J35" i="8"/>
  <c r="J32" i="7"/>
  <c r="J35" i="7"/>
  <c r="J38" i="8"/>
  <c r="K29" i="1"/>
  <c r="K32" i="1"/>
  <c r="K35" i="1"/>
  <c r="K38" i="1"/>
  <c r="K56" i="1"/>
  <c r="J53" i="8"/>
  <c r="E53" i="7"/>
  <c r="F53" i="7"/>
  <c r="T32" i="5" s="1"/>
  <c r="F53" i="8"/>
  <c r="V32" i="5" s="1"/>
  <c r="E53" i="8"/>
  <c r="J53" i="7"/>
  <c r="E53" i="1"/>
  <c r="E56" i="1"/>
  <c r="E59" i="1"/>
  <c r="V30" i="5" l="1"/>
  <c r="U30" i="5"/>
  <c r="M41" i="7"/>
  <c r="L42" i="7"/>
  <c r="M41" i="8"/>
  <c r="L42" i="8"/>
  <c r="T30" i="5"/>
  <c r="S30" i="5"/>
  <c r="L42" i="1"/>
  <c r="M41" i="1"/>
  <c r="T48" i="5"/>
  <c r="Q89" i="7"/>
  <c r="L89" i="7" s="1"/>
  <c r="S49" i="5" s="1"/>
  <c r="O89" i="7"/>
  <c r="J89" i="7" s="1"/>
  <c r="F1" i="7" s="1"/>
  <c r="P89" i="7"/>
  <c r="K89" i="7" s="1"/>
  <c r="N89" i="7"/>
  <c r="E89" i="7" s="1"/>
  <c r="V48" i="5"/>
  <c r="O89" i="8"/>
  <c r="J89" i="8" s="1"/>
  <c r="F1" i="8" s="1"/>
  <c r="P89" i="8"/>
  <c r="K89" i="8" s="1"/>
  <c r="Q89" i="8"/>
  <c r="L89" i="8" s="1"/>
  <c r="U49" i="5" s="1"/>
  <c r="N89" i="8"/>
  <c r="E89" i="8" s="1"/>
  <c r="P89" i="1"/>
  <c r="K89" i="1" s="1"/>
  <c r="O89" i="1"/>
  <c r="J89" i="1" s="1"/>
  <c r="F1" i="1" s="1"/>
  <c r="Q89" i="1"/>
  <c r="L89" i="1" s="1"/>
  <c r="R48" i="5"/>
  <c r="V47" i="5"/>
  <c r="U39" i="5"/>
  <c r="T47" i="5"/>
  <c r="S39" i="5"/>
  <c r="N42" i="8" l="1"/>
  <c r="N41" i="8"/>
  <c r="L41" i="8"/>
  <c r="N41" i="7"/>
  <c r="L41" i="7"/>
  <c r="N42" i="7"/>
  <c r="N41" i="1"/>
  <c r="L41" i="1"/>
  <c r="Q30" i="5" s="1"/>
  <c r="N42" i="1"/>
  <c r="O40" i="5"/>
  <c r="N40" i="5"/>
  <c r="B60" i="5"/>
  <c r="B57" i="5"/>
  <c r="B55" i="5"/>
  <c r="B59" i="5"/>
  <c r="B58" i="5"/>
  <c r="O24" i="5"/>
  <c r="H5" i="6" s="1"/>
  <c r="I5" i="6" s="1"/>
  <c r="B62" i="5"/>
  <c r="N50" i="5"/>
  <c r="E29" i="6" s="1"/>
  <c r="O53" i="5"/>
  <c r="O38" i="5"/>
  <c r="H19" i="6" s="1"/>
  <c r="R19" i="6" s="1"/>
  <c r="O28" i="5"/>
  <c r="H9" i="6" s="1"/>
  <c r="R9" i="6" s="1"/>
  <c r="O43" i="5"/>
  <c r="H22" i="6" s="1"/>
  <c r="O32" i="5"/>
  <c r="H13" i="6" s="1"/>
  <c r="I13" i="6" s="1"/>
  <c r="O35" i="5"/>
  <c r="H16" i="6" s="1"/>
  <c r="R16" i="6" s="1"/>
  <c r="O30" i="5"/>
  <c r="H11" i="6" s="1"/>
  <c r="R11" i="6" s="1"/>
  <c r="O37" i="5"/>
  <c r="H18" i="6" s="1"/>
  <c r="I18" i="6" s="1"/>
  <c r="O48" i="5"/>
  <c r="H27" i="6" s="1"/>
  <c r="O25" i="5"/>
  <c r="H6" i="6" s="1"/>
  <c r="R6" i="6" s="1"/>
  <c r="O27" i="5"/>
  <c r="H8" i="6" s="1"/>
  <c r="I8" i="6" s="1"/>
  <c r="O45" i="5"/>
  <c r="O52" i="5"/>
  <c r="H31" i="6" s="1"/>
  <c r="O26" i="5"/>
  <c r="H7" i="6" s="1"/>
  <c r="I7" i="6" s="1"/>
  <c r="O36" i="5"/>
  <c r="H17" i="6" s="1"/>
  <c r="I17" i="6" s="1"/>
  <c r="O46" i="5"/>
  <c r="O39" i="5"/>
  <c r="H20" i="6" s="1"/>
  <c r="R20" i="6" s="1"/>
  <c r="O33" i="5"/>
  <c r="H14" i="6" s="1"/>
  <c r="R14" i="6" s="1"/>
  <c r="O50" i="5"/>
  <c r="H29" i="6" s="1"/>
  <c r="O34" i="5"/>
  <c r="H15" i="6" s="1"/>
  <c r="I15" i="6" s="1"/>
  <c r="O29" i="5"/>
  <c r="H10" i="6" s="1"/>
  <c r="I10" i="6" s="1"/>
  <c r="O31" i="5"/>
  <c r="H12" i="6" s="1"/>
  <c r="R12" i="6" s="1"/>
  <c r="O23" i="5"/>
  <c r="H4" i="6" s="1"/>
  <c r="I4" i="6" s="1"/>
  <c r="O49" i="5"/>
  <c r="H28" i="6" s="1"/>
  <c r="O47" i="5"/>
  <c r="H26" i="6" s="1"/>
  <c r="N47" i="5"/>
  <c r="E26" i="6" s="1"/>
  <c r="N45" i="5"/>
  <c r="N24" i="5"/>
  <c r="E5" i="6" s="1"/>
  <c r="F5" i="6" s="1"/>
  <c r="N39" i="5"/>
  <c r="E20" i="6" s="1"/>
  <c r="F20" i="6" s="1"/>
  <c r="N36" i="5"/>
  <c r="E17" i="6" s="1"/>
  <c r="F17" i="6" s="1"/>
  <c r="N38" i="5"/>
  <c r="E19" i="6" s="1"/>
  <c r="O19" i="6" s="1"/>
  <c r="N23" i="5"/>
  <c r="E4" i="6" s="1"/>
  <c r="O4" i="6" s="1"/>
  <c r="N30" i="5"/>
  <c r="E11" i="6" s="1"/>
  <c r="O11" i="6" s="1"/>
  <c r="N53" i="5"/>
  <c r="E32" i="6" s="1"/>
  <c r="N28" i="5"/>
  <c r="E9" i="6" s="1"/>
  <c r="O9" i="6" s="1"/>
  <c r="N37" i="5"/>
  <c r="E18" i="6" s="1"/>
  <c r="F18" i="6" s="1"/>
  <c r="N33" i="5"/>
  <c r="E14" i="6" s="1"/>
  <c r="F14" i="6" s="1"/>
  <c r="N49" i="5"/>
  <c r="N31" i="5"/>
  <c r="E12" i="6" s="1"/>
  <c r="O12" i="6" s="1"/>
  <c r="N48" i="5"/>
  <c r="N52" i="5"/>
  <c r="E31" i="6" s="1"/>
  <c r="N34" i="5"/>
  <c r="E15" i="6" s="1"/>
  <c r="F15" i="6" s="1"/>
  <c r="N25" i="5"/>
  <c r="E6" i="6" s="1"/>
  <c r="F6" i="6" s="1"/>
  <c r="N29" i="5"/>
  <c r="E10" i="6" s="1"/>
  <c r="O10" i="6" s="1"/>
  <c r="N43" i="5"/>
  <c r="E22" i="6" s="1"/>
  <c r="N26" i="5"/>
  <c r="E7" i="6" s="1"/>
  <c r="F7" i="6" s="1"/>
  <c r="N27" i="5"/>
  <c r="E8" i="6" s="1"/>
  <c r="F8" i="6" s="1"/>
  <c r="N32" i="5"/>
  <c r="E13" i="6" s="1"/>
  <c r="F13" i="6" s="1"/>
  <c r="N35" i="5"/>
  <c r="E16" i="6" s="1"/>
  <c r="F16" i="6" s="1"/>
  <c r="N46" i="5"/>
  <c r="E25" i="6" s="1"/>
  <c r="H32" i="6" l="1"/>
  <c r="I32" i="6" s="1"/>
  <c r="E27" i="6"/>
  <c r="O27" i="6" s="1"/>
  <c r="H25" i="6"/>
  <c r="I25" i="6" s="1"/>
  <c r="H24" i="6"/>
  <c r="R24" i="6" s="1"/>
  <c r="E24" i="6"/>
  <c r="F24" i="6" s="1"/>
  <c r="E28" i="6"/>
  <c r="F28" i="6" s="1"/>
  <c r="P41" i="7"/>
  <c r="K42" i="7"/>
  <c r="F2" i="7" s="1"/>
  <c r="F3" i="7" s="1"/>
  <c r="P41" i="1"/>
  <c r="K42" i="1"/>
  <c r="F2" i="1" s="1"/>
  <c r="F3" i="1" s="1"/>
  <c r="K42" i="8"/>
  <c r="F2" i="8" s="1"/>
  <c r="F3" i="8" s="1"/>
  <c r="P41" i="8"/>
  <c r="O22" i="6"/>
  <c r="R26" i="6"/>
  <c r="I26" i="6"/>
  <c r="R27" i="6"/>
  <c r="I27" i="6"/>
  <c r="O25" i="6"/>
  <c r="F25" i="6"/>
  <c r="R28" i="6"/>
  <c r="I28" i="6"/>
  <c r="O29" i="6"/>
  <c r="F29" i="6"/>
  <c r="O26" i="6"/>
  <c r="F26" i="6"/>
  <c r="R29" i="6"/>
  <c r="I29" i="6"/>
  <c r="I23" i="6"/>
  <c r="H21" i="6"/>
  <c r="F23" i="6"/>
  <c r="E21" i="6"/>
  <c r="I31" i="6"/>
  <c r="F31" i="6"/>
  <c r="F32" i="6"/>
  <c r="B56" i="5"/>
  <c r="J56" i="5" s="1"/>
  <c r="R5" i="6"/>
  <c r="B61" i="5"/>
  <c r="J61" i="5" s="1"/>
  <c r="F62" i="5"/>
  <c r="C62" i="5"/>
  <c r="J62" i="5"/>
  <c r="D62" i="5"/>
  <c r="E62" i="5"/>
  <c r="C60" i="5"/>
  <c r="D60" i="5"/>
  <c r="J60" i="5"/>
  <c r="E60" i="5"/>
  <c r="F60" i="5"/>
  <c r="D58" i="5"/>
  <c r="C58" i="5"/>
  <c r="E58" i="5"/>
  <c r="F58" i="5"/>
  <c r="J58" i="5"/>
  <c r="D57" i="5"/>
  <c r="C57" i="5"/>
  <c r="F57" i="5"/>
  <c r="J57" i="5"/>
  <c r="E57" i="5"/>
  <c r="D59" i="5"/>
  <c r="C59" i="5"/>
  <c r="F59" i="5"/>
  <c r="E59" i="5"/>
  <c r="J59" i="5"/>
  <c r="D55" i="5"/>
  <c r="F55" i="5"/>
  <c r="C55" i="5"/>
  <c r="J55" i="5"/>
  <c r="E55" i="5"/>
  <c r="I16" i="6"/>
  <c r="R32" i="6"/>
  <c r="I19" i="6"/>
  <c r="I20" i="6"/>
  <c r="R10" i="6"/>
  <c r="I9" i="6"/>
  <c r="R8" i="6"/>
  <c r="R22" i="6"/>
  <c r="R4" i="6"/>
  <c r="I6" i="6"/>
  <c r="R18" i="6"/>
  <c r="R25" i="6"/>
  <c r="R17" i="6"/>
  <c r="O24" i="6"/>
  <c r="R15" i="6"/>
  <c r="R13" i="6"/>
  <c r="O17" i="6"/>
  <c r="O5" i="6"/>
  <c r="I11" i="6"/>
  <c r="R7" i="6"/>
  <c r="I14" i="6"/>
  <c r="I12" i="6"/>
  <c r="O20" i="6"/>
  <c r="F11" i="6"/>
  <c r="F9" i="6"/>
  <c r="F19" i="6"/>
  <c r="F4" i="6"/>
  <c r="F12" i="6"/>
  <c r="F10" i="6"/>
  <c r="O13" i="6"/>
  <c r="O15" i="6"/>
  <c r="O18" i="6"/>
  <c r="O28" i="6"/>
  <c r="O8" i="6"/>
  <c r="O6" i="6"/>
  <c r="O14" i="6"/>
  <c r="O16" i="6"/>
  <c r="O7" i="6"/>
  <c r="I24" i="6" l="1"/>
  <c r="F27" i="6"/>
  <c r="E56" i="5"/>
  <c r="O23" i="6"/>
  <c r="F21" i="6"/>
  <c r="O21" i="6"/>
  <c r="R23" i="6"/>
  <c r="I21" i="6"/>
  <c r="R21" i="6"/>
  <c r="O31" i="6"/>
  <c r="O32" i="6"/>
  <c r="R31" i="6"/>
  <c r="D56" i="5"/>
  <c r="D61" i="5"/>
  <c r="C56" i="5"/>
  <c r="F56" i="5"/>
  <c r="E61" i="5"/>
  <c r="C61" i="5"/>
  <c r="F61" i="5"/>
  <c r="G59" i="5"/>
  <c r="G62" i="5"/>
  <c r="G57" i="5"/>
  <c r="G60" i="5"/>
  <c r="G55" i="5"/>
  <c r="G58" i="5"/>
  <c r="G56" i="5" l="1"/>
  <c r="G61" i="5"/>
  <c r="E8" i="5" l="1"/>
  <c r="R49" i="5"/>
  <c r="N89" i="1"/>
  <c r="E89" i="1" l="1"/>
  <c r="Q49" i="5" s="1"/>
  <c r="M40" i="5" l="1"/>
  <c r="B21" i="6" s="1"/>
  <c r="C21" i="6" s="1"/>
  <c r="M43" i="5"/>
  <c r="B22" i="6" s="1"/>
  <c r="M48" i="5"/>
  <c r="M38" i="5"/>
  <c r="P38" i="5" s="1"/>
  <c r="B38" i="5" s="1"/>
  <c r="M27" i="5"/>
  <c r="P27" i="5" s="1"/>
  <c r="B27" i="5" s="1"/>
  <c r="M45" i="5"/>
  <c r="M24" i="5"/>
  <c r="B5" i="6" s="1"/>
  <c r="M50" i="5"/>
  <c r="M33" i="5"/>
  <c r="P33" i="5" s="1"/>
  <c r="B33" i="5" s="1"/>
  <c r="M30" i="5"/>
  <c r="B11" i="6" s="1"/>
  <c r="M23" i="5"/>
  <c r="M29" i="5"/>
  <c r="B10" i="6" s="1"/>
  <c r="M35" i="5"/>
  <c r="P35" i="5" s="1"/>
  <c r="B35" i="5" s="1"/>
  <c r="M28" i="5"/>
  <c r="B9" i="6" s="1"/>
  <c r="M49" i="5"/>
  <c r="M37" i="5"/>
  <c r="B18" i="6" s="1"/>
  <c r="M39" i="5"/>
  <c r="B20" i="6" s="1"/>
  <c r="M36" i="5"/>
  <c r="B17" i="6" s="1"/>
  <c r="M32" i="5"/>
  <c r="B13" i="6" s="1"/>
  <c r="M34" i="5"/>
  <c r="P34" i="5" s="1"/>
  <c r="B34" i="5" s="1"/>
  <c r="M26" i="5"/>
  <c r="P26" i="5" s="1"/>
  <c r="B26" i="5" s="1"/>
  <c r="M31" i="5"/>
  <c r="B12" i="6" s="1"/>
  <c r="M46" i="5"/>
  <c r="M25" i="5"/>
  <c r="B6" i="6" s="1"/>
  <c r="M47" i="5"/>
  <c r="M52" i="5"/>
  <c r="M53" i="5"/>
  <c r="B32" i="6" s="1"/>
  <c r="P50" i="5" l="1"/>
  <c r="B50" i="5" s="1"/>
  <c r="J50" i="5" s="1"/>
  <c r="B29" i="6"/>
  <c r="C29" i="6" s="1"/>
  <c r="B25" i="6"/>
  <c r="C25" i="6" s="1"/>
  <c r="P49" i="5"/>
  <c r="B49" i="5" s="1"/>
  <c r="F49" i="5" s="1"/>
  <c r="B28" i="6"/>
  <c r="C28" i="6" s="1"/>
  <c r="P48" i="5"/>
  <c r="B48" i="5" s="1"/>
  <c r="D48" i="5" s="1"/>
  <c r="B27" i="6"/>
  <c r="P52" i="5"/>
  <c r="B52" i="5" s="1"/>
  <c r="F52" i="5" s="1"/>
  <c r="B31" i="6"/>
  <c r="P45" i="5"/>
  <c r="B45" i="5" s="1"/>
  <c r="J45" i="5" s="1"/>
  <c r="B24" i="6"/>
  <c r="P47" i="5"/>
  <c r="B47" i="5" s="1"/>
  <c r="F47" i="5" s="1"/>
  <c r="B26" i="6"/>
  <c r="C26" i="6" s="1"/>
  <c r="C23" i="6"/>
  <c r="L21" i="6"/>
  <c r="U21" i="6" s="1"/>
  <c r="V21" i="6" s="1"/>
  <c r="B4" i="6"/>
  <c r="L4" i="6" s="1"/>
  <c r="U4" i="6" s="1"/>
  <c r="P43" i="5"/>
  <c r="B43" i="5" s="1"/>
  <c r="D43" i="5" s="1"/>
  <c r="P24" i="5"/>
  <c r="B24" i="5" s="1"/>
  <c r="C24" i="5" s="1"/>
  <c r="B19" i="6"/>
  <c r="L19" i="6" s="1"/>
  <c r="U19" i="6" s="1"/>
  <c r="V19" i="6" s="1"/>
  <c r="P36" i="5"/>
  <c r="B36" i="5" s="1"/>
  <c r="J36" i="5" s="1"/>
  <c r="P46" i="5"/>
  <c r="B46" i="5" s="1"/>
  <c r="C46" i="5" s="1"/>
  <c r="G46" i="5" s="1"/>
  <c r="P31" i="5"/>
  <c r="B31" i="5" s="1"/>
  <c r="F31" i="5" s="1"/>
  <c r="P23" i="5"/>
  <c r="B23" i="5" s="1"/>
  <c r="E23" i="5" s="1"/>
  <c r="P30" i="5"/>
  <c r="B30" i="5" s="1"/>
  <c r="J30" i="5" s="1"/>
  <c r="P28" i="5"/>
  <c r="B28" i="5" s="1"/>
  <c r="E28" i="5" s="1"/>
  <c r="B8" i="6"/>
  <c r="C8" i="6" s="1"/>
  <c r="P37" i="5"/>
  <c r="B37" i="5" s="1"/>
  <c r="J37" i="5" s="1"/>
  <c r="P32" i="5"/>
  <c r="B32" i="5" s="1"/>
  <c r="D32" i="5" s="1"/>
  <c r="P40" i="5"/>
  <c r="P29" i="5"/>
  <c r="B29" i="5" s="1"/>
  <c r="D29" i="5" s="1"/>
  <c r="E48" i="5"/>
  <c r="B14" i="6"/>
  <c r="L14" i="6" s="1"/>
  <c r="U14" i="6" s="1"/>
  <c r="V14" i="6" s="1"/>
  <c r="B16" i="6"/>
  <c r="C16" i="6" s="1"/>
  <c r="P53" i="5"/>
  <c r="B53" i="5" s="1"/>
  <c r="F53" i="5" s="1"/>
  <c r="P39" i="5"/>
  <c r="B39" i="5" s="1"/>
  <c r="E39" i="5" s="1"/>
  <c r="P25" i="5"/>
  <c r="B25" i="5" s="1"/>
  <c r="D25" i="5" s="1"/>
  <c r="B15" i="6"/>
  <c r="C15" i="6" s="1"/>
  <c r="B7" i="6"/>
  <c r="L7" i="6" s="1"/>
  <c r="U7" i="6" s="1"/>
  <c r="V7" i="6" s="1"/>
  <c r="F38" i="5"/>
  <c r="E38" i="5"/>
  <c r="C38" i="5"/>
  <c r="D38" i="5"/>
  <c r="J38" i="5"/>
  <c r="C10" i="6"/>
  <c r="L10" i="6"/>
  <c r="U10" i="6" s="1"/>
  <c r="V10" i="6" s="1"/>
  <c r="C5" i="6"/>
  <c r="L5" i="6"/>
  <c r="U5" i="6" s="1"/>
  <c r="V5" i="6" s="1"/>
  <c r="D26" i="5"/>
  <c r="C26" i="5"/>
  <c r="G26" i="5" s="1"/>
  <c r="E26" i="5"/>
  <c r="F26" i="5"/>
  <c r="J26" i="5"/>
  <c r="D34" i="5"/>
  <c r="J34" i="5"/>
  <c r="F34" i="5"/>
  <c r="E34" i="5"/>
  <c r="C34" i="5"/>
  <c r="L17" i="6"/>
  <c r="U17" i="6" s="1"/>
  <c r="V17" i="6" s="1"/>
  <c r="C17" i="6"/>
  <c r="C18" i="6"/>
  <c r="L18" i="6"/>
  <c r="U18" i="6" s="1"/>
  <c r="V18" i="6" s="1"/>
  <c r="C9" i="6"/>
  <c r="L9" i="6"/>
  <c r="U9" i="6" s="1"/>
  <c r="V9" i="6" s="1"/>
  <c r="C11" i="6"/>
  <c r="L11" i="6"/>
  <c r="U11" i="6" s="1"/>
  <c r="V11" i="6" s="1"/>
  <c r="F27" i="5"/>
  <c r="E27" i="5"/>
  <c r="J27" i="5"/>
  <c r="C27" i="5"/>
  <c r="D27" i="5"/>
  <c r="F35" i="5"/>
  <c r="C35" i="5"/>
  <c r="G35" i="5" s="1"/>
  <c r="D35" i="5"/>
  <c r="J35" i="5"/>
  <c r="E35" i="5"/>
  <c r="C20" i="6"/>
  <c r="L20" i="6"/>
  <c r="U20" i="6" s="1"/>
  <c r="V20" i="6" s="1"/>
  <c r="L32" i="6"/>
  <c r="U32" i="6" s="1"/>
  <c r="V32" i="6" s="1"/>
  <c r="E33" i="5"/>
  <c r="J33" i="5"/>
  <c r="F33" i="5"/>
  <c r="D33" i="5"/>
  <c r="C33" i="5"/>
  <c r="G33" i="5" s="1"/>
  <c r="C6" i="6"/>
  <c r="L6" i="6"/>
  <c r="U6" i="6" s="1"/>
  <c r="V6" i="6" s="1"/>
  <c r="C12" i="6"/>
  <c r="L12" i="6"/>
  <c r="U12" i="6" s="1"/>
  <c r="V12" i="6" s="1"/>
  <c r="D50" i="5"/>
  <c r="C13" i="6"/>
  <c r="L13" i="6"/>
  <c r="U13" i="6" s="1"/>
  <c r="V13" i="6" s="1"/>
  <c r="F45" i="5"/>
  <c r="E45" i="5"/>
  <c r="C45" i="5" l="1"/>
  <c r="G45" i="5" s="1"/>
  <c r="D45" i="5"/>
  <c r="C48" i="5"/>
  <c r="G48" i="5" s="1"/>
  <c r="C50" i="5"/>
  <c r="G50" i="5" s="1"/>
  <c r="E50" i="5"/>
  <c r="L25" i="6"/>
  <c r="U25" i="6" s="1"/>
  <c r="V25" i="6" s="1"/>
  <c r="J48" i="5"/>
  <c r="J49" i="5"/>
  <c r="F48" i="5"/>
  <c r="D47" i="5"/>
  <c r="D52" i="5"/>
  <c r="E52" i="5"/>
  <c r="F50" i="5"/>
  <c r="E49" i="5"/>
  <c r="E47" i="5"/>
  <c r="C52" i="5"/>
  <c r="G52" i="5" s="1"/>
  <c r="J52" i="5"/>
  <c r="C49" i="5"/>
  <c r="G49" i="5" s="1"/>
  <c r="D49" i="5"/>
  <c r="J47" i="5"/>
  <c r="C47" i="5"/>
  <c r="G47" i="5" s="1"/>
  <c r="G34" i="5"/>
  <c r="G27" i="5"/>
  <c r="L23" i="6"/>
  <c r="U23" i="6" s="1"/>
  <c r="V23" i="6" s="1"/>
  <c r="C4" i="6"/>
  <c r="F43" i="5"/>
  <c r="E43" i="5"/>
  <c r="C43" i="5"/>
  <c r="J43" i="5"/>
  <c r="L22" i="6"/>
  <c r="U22" i="6" s="1"/>
  <c r="V22" i="6" s="1"/>
  <c r="C31" i="6"/>
  <c r="F24" i="5"/>
  <c r="G24" i="5" s="1"/>
  <c r="F28" i="5"/>
  <c r="L27" i="6"/>
  <c r="U27" i="6" s="1"/>
  <c r="V27" i="6" s="1"/>
  <c r="C27" i="6"/>
  <c r="L24" i="6"/>
  <c r="U24" i="6" s="1"/>
  <c r="V24" i="6" s="1"/>
  <c r="C24" i="6"/>
  <c r="D24" i="5"/>
  <c r="C19" i="6"/>
  <c r="J24" i="5"/>
  <c r="C29" i="5"/>
  <c r="E24" i="5"/>
  <c r="C36" i="5"/>
  <c r="G36" i="5" s="1"/>
  <c r="C23" i="5"/>
  <c r="E53" i="5"/>
  <c r="E36" i="5"/>
  <c r="F36" i="5"/>
  <c r="D39" i="5"/>
  <c r="D36" i="5"/>
  <c r="D30" i="5"/>
  <c r="F46" i="5"/>
  <c r="J25" i="5"/>
  <c r="D46" i="5"/>
  <c r="E25" i="5"/>
  <c r="L28" i="6"/>
  <c r="U28" i="6" s="1"/>
  <c r="V28" i="6" s="1"/>
  <c r="B40" i="5"/>
  <c r="J31" i="5"/>
  <c r="F25" i="5"/>
  <c r="C14" i="6"/>
  <c r="E46" i="5"/>
  <c r="L8" i="6"/>
  <c r="U8" i="6" s="1"/>
  <c r="V8" i="6" s="1"/>
  <c r="D31" i="5"/>
  <c r="J46" i="5"/>
  <c r="F23" i="5"/>
  <c r="C31" i="5"/>
  <c r="G31" i="5" s="1"/>
  <c r="E31" i="5"/>
  <c r="L31" i="6"/>
  <c r="U31" i="6" s="1"/>
  <c r="V31" i="6" s="1"/>
  <c r="J23" i="5"/>
  <c r="C30" i="5"/>
  <c r="G30" i="5" s="1"/>
  <c r="E32" i="5"/>
  <c r="F30" i="5"/>
  <c r="E30" i="5"/>
  <c r="D23" i="5"/>
  <c r="D53" i="5"/>
  <c r="J53" i="5"/>
  <c r="F29" i="5"/>
  <c r="J28" i="5"/>
  <c r="C7" i="6"/>
  <c r="C32" i="5"/>
  <c r="F32" i="5"/>
  <c r="D28" i="5"/>
  <c r="J32" i="5"/>
  <c r="C28" i="5"/>
  <c r="G28" i="5" s="1"/>
  <c r="C39" i="5"/>
  <c r="C25" i="5"/>
  <c r="G25" i="5" s="1"/>
  <c r="D37" i="5"/>
  <c r="L16" i="6"/>
  <c r="U16" i="6" s="1"/>
  <c r="V16" i="6" s="1"/>
  <c r="C53" i="5"/>
  <c r="E29" i="5"/>
  <c r="E37" i="5"/>
  <c r="J29" i="5"/>
  <c r="C37" i="5"/>
  <c r="F37" i="5"/>
  <c r="L29" i="6"/>
  <c r="U29" i="6" s="1"/>
  <c r="V29" i="6" s="1"/>
  <c r="L15" i="6"/>
  <c r="U15" i="6" s="1"/>
  <c r="V15" i="6" s="1"/>
  <c r="J39" i="5"/>
  <c r="L26" i="6"/>
  <c r="U26" i="6" s="1"/>
  <c r="V26" i="6" s="1"/>
  <c r="F39" i="5"/>
  <c r="V51" i="6"/>
  <c r="V52" i="6"/>
  <c r="V49" i="6"/>
  <c r="V4" i="6"/>
  <c r="V46" i="6"/>
  <c r="V55" i="6"/>
  <c r="V54" i="6"/>
  <c r="V53" i="6"/>
  <c r="V50" i="6"/>
  <c r="V43" i="6"/>
  <c r="V3" i="6"/>
  <c r="V45" i="6"/>
  <c r="V42" i="6"/>
  <c r="V44" i="6"/>
  <c r="V47" i="6"/>
  <c r="V48" i="6"/>
  <c r="G38" i="5"/>
  <c r="G29" i="5" l="1"/>
  <c r="G32" i="5"/>
  <c r="G37" i="5"/>
  <c r="F22" i="6"/>
  <c r="I22" i="6"/>
  <c r="G43" i="5"/>
  <c r="C22" i="6"/>
  <c r="G53" i="5"/>
  <c r="C32" i="6"/>
  <c r="G23" i="5"/>
  <c r="X23" i="5"/>
  <c r="X28" i="5"/>
  <c r="X32" i="5"/>
  <c r="X36" i="5"/>
  <c r="X24" i="5"/>
  <c r="X29" i="5"/>
  <c r="X37" i="5"/>
  <c r="X26" i="5"/>
  <c r="X27" i="5"/>
  <c r="X39" i="5"/>
  <c r="X25" i="5"/>
  <c r="X33" i="5"/>
  <c r="X30" i="5"/>
  <c r="X34" i="5"/>
  <c r="X38" i="5"/>
  <c r="X31" i="5"/>
  <c r="X35" i="5"/>
  <c r="G39" i="5"/>
  <c r="W6" i="6"/>
  <c r="W10" i="6"/>
  <c r="W14" i="6"/>
  <c r="W18" i="6"/>
  <c r="W22" i="6"/>
  <c r="W26" i="6"/>
  <c r="W30" i="6"/>
  <c r="W34" i="6"/>
  <c r="W38" i="6"/>
  <c r="W5" i="6"/>
  <c r="W13" i="6"/>
  <c r="W21" i="6"/>
  <c r="W33" i="6"/>
  <c r="W41" i="6"/>
  <c r="W7" i="6"/>
  <c r="W11" i="6"/>
  <c r="W15" i="6"/>
  <c r="W19" i="6"/>
  <c r="W23" i="6"/>
  <c r="W27" i="6"/>
  <c r="W31" i="6"/>
  <c r="W35" i="6"/>
  <c r="W39" i="6"/>
  <c r="W4" i="6"/>
  <c r="W8" i="6"/>
  <c r="W12" i="6"/>
  <c r="W16" i="6"/>
  <c r="W20" i="6"/>
  <c r="W24" i="6"/>
  <c r="W28" i="6"/>
  <c r="W32" i="6"/>
  <c r="W36" i="6"/>
  <c r="W40" i="6"/>
  <c r="W9" i="6"/>
  <c r="W17" i="6"/>
  <c r="W25" i="6"/>
  <c r="W29" i="6"/>
  <c r="W37" i="6"/>
  <c r="C40" i="5"/>
  <c r="J40" i="5"/>
  <c r="D40" i="5"/>
  <c r="E40" i="5"/>
  <c r="F40" i="5"/>
  <c r="J44" i="5"/>
  <c r="G64" i="5" l="1"/>
  <c r="X40" i="5"/>
  <c r="G40" i="5"/>
  <c r="G63" i="5" s="1"/>
  <c r="J63" i="5" s="1"/>
  <c r="J41" i="5" l="1"/>
  <c r="J64" i="5"/>
  <c r="J42" i="5"/>
  <c r="J21" i="5"/>
  <c r="G65" i="5"/>
  <c r="G66" i="5" s="1"/>
  <c r="J66" i="5" s="1"/>
  <c r="J22" i="5"/>
  <c r="D64" i="5"/>
  <c r="X55" i="5" l="1"/>
  <c r="M8" i="5"/>
  <c r="E5" i="5" s="1"/>
  <c r="X60" i="5"/>
  <c r="X53" i="5"/>
  <c r="X52" i="5"/>
  <c r="X51" i="5"/>
  <c r="X57" i="5"/>
  <c r="X54" i="5"/>
  <c r="X44" i="5"/>
  <c r="X47" i="5"/>
  <c r="X49" i="5"/>
  <c r="X59" i="5"/>
  <c r="X45" i="5"/>
  <c r="X48" i="5"/>
  <c r="X50" i="5"/>
  <c r="X62" i="5"/>
  <c r="X56" i="5"/>
  <c r="X46" i="5"/>
  <c r="X61" i="5"/>
  <c r="X43" i="5"/>
  <c r="X58" i="5"/>
  <c r="G67" i="5"/>
  <c r="D8" i="5" s="1"/>
  <c r="J65" i="5"/>
  <c r="N8" i="5" l="1"/>
  <c r="J67" i="5"/>
</calcChain>
</file>

<file path=xl/sharedStrings.xml><?xml version="1.0" encoding="utf-8"?>
<sst xmlns="http://schemas.openxmlformats.org/spreadsheetml/2006/main" count="838" uniqueCount="402">
  <si>
    <t>Base</t>
  </si>
  <si>
    <t>PowerEdge T340 Server</t>
  </si>
  <si>
    <t>Chassis Configuration</t>
  </si>
  <si>
    <t>3.5" Chassis up to 4 Hot Plug Hard Drives and Embedded SATA</t>
  </si>
  <si>
    <t>Trusted Platform Module (TPM)</t>
  </si>
  <si>
    <t>Trusted Platform Module 2.0</t>
  </si>
  <si>
    <t>Processor</t>
  </si>
  <si>
    <t>Intel® Xeon® E-2236 3.4GHz, 12M cache, 6C/12T, turbo (80W)</t>
  </si>
  <si>
    <t>Memory Capacity</t>
  </si>
  <si>
    <t>Operating System</t>
  </si>
  <si>
    <t>Boot Optimized Storage Cards</t>
  </si>
  <si>
    <t>BOSS controller card + with 2 M.2 Sticks 480GB (RAID1),FH</t>
  </si>
  <si>
    <t>Hard Drives Bay 1</t>
  </si>
  <si>
    <t>Hard Drives Bay 2</t>
  </si>
  <si>
    <t>Hard Drives Bay 3</t>
  </si>
  <si>
    <t>Power Supply</t>
  </si>
  <si>
    <t>Hard Drives Bay 4</t>
  </si>
  <si>
    <t>Module Name</t>
  </si>
  <si>
    <t>Option ID</t>
  </si>
  <si>
    <t>Option Name</t>
  </si>
  <si>
    <t>Option List Price</t>
  </si>
  <si>
    <t>SKUs</t>
  </si>
  <si>
    <t>Qty</t>
  </si>
  <si>
    <t>SKU Customer Kit</t>
  </si>
  <si>
    <t>Attributo</t>
  </si>
  <si>
    <t>Valore inserito</t>
  </si>
  <si>
    <t>N°</t>
  </si>
  <si>
    <t>Codice Convenzione</t>
  </si>
  <si>
    <t>Server Tower mono-processore</t>
  </si>
  <si>
    <t>L1N01</t>
  </si>
  <si>
    <t>TS3L1-SRV</t>
  </si>
  <si>
    <t>TS3L1_RAM</t>
  </si>
  <si>
    <t>16GB</t>
  </si>
  <si>
    <t> GYWO126</t>
  </si>
  <si>
    <t>370-AEKL</t>
  </si>
  <si>
    <t>AA335286</t>
  </si>
  <si>
    <t>32GB</t>
  </si>
  <si>
    <t>OpzRAM16GB</t>
  </si>
  <si>
    <t>L1N02</t>
  </si>
  <si>
    <t>TS3L1-RAM16</t>
  </si>
  <si>
    <t>48GB</t>
  </si>
  <si>
    <t>64GB</t>
  </si>
  <si>
    <t>TS3L1_OS</t>
  </si>
  <si>
    <t>No Operating System</t>
  </si>
  <si>
    <t>[TS3L1-WINSRVESS] Windows Server® 2019 Essentials</t>
  </si>
  <si>
    <t>GQ5SW9I</t>
  </si>
  <si>
    <t>634-BSFC</t>
  </si>
  <si>
    <t>634-BSFZ</t>
  </si>
  <si>
    <t>OpzWinServESS</t>
  </si>
  <si>
    <t>L1N12</t>
  </si>
  <si>
    <t>TS3L1-WINSRVESS</t>
  </si>
  <si>
    <t>[TS3L1-LINUX] Ubuntu 18.04 LTS 64 Bit</t>
  </si>
  <si>
    <t>Ubuntu 18.04 LTS 64 Bit</t>
  </si>
  <si>
    <t>OpzOpenSource</t>
  </si>
  <si>
    <t>L1N15</t>
  </si>
  <si>
    <t>TS3L1-LINUX</t>
  </si>
  <si>
    <t>TS3L1_HDD</t>
  </si>
  <si>
    <t>[TS3L1-HDD8TB] 8TB 7.2K RPM SATA 6Gbps Hot-plug Hard Drive</t>
  </si>
  <si>
    <t>Hard Drives</t>
  </si>
  <si>
    <t>8T35HL</t>
  </si>
  <si>
    <t>400-AOJN</t>
  </si>
  <si>
    <t>400-AHID</t>
  </si>
  <si>
    <t>OpzHDD8TB</t>
  </si>
  <si>
    <t>L1N04</t>
  </si>
  <si>
    <t>TS3L1-HDD8TB</t>
  </si>
  <si>
    <t>[TS3L1-HDD4TB] 4TB 7.2K RPM SATA 6Gbps Hot-plug Hard Drive</t>
  </si>
  <si>
    <t>400-ASNY</t>
  </si>
  <si>
    <t>400-AUWY</t>
  </si>
  <si>
    <t>OpzHDD4TB</t>
  </si>
  <si>
    <t>L1N05</t>
  </si>
  <si>
    <t>TS3L1-HDD4TB</t>
  </si>
  <si>
    <t>[TS3L1-HDD2TB] 2TB 7.2K RPM SATA 6Gbps Hot-plug Hard Drive</t>
  </si>
  <si>
    <t>400-ASNC</t>
  </si>
  <si>
    <t>400-AUWX</t>
  </si>
  <si>
    <t>OpzHDD2TB</t>
  </si>
  <si>
    <t>L1N06</t>
  </si>
  <si>
    <t>TS3L1-HDD2TB</t>
  </si>
  <si>
    <t>[TS3L1-HDD1TB] 1TB 7.2K RPM SATA 6Gbps Hot-plug Hard Drive</t>
  </si>
  <si>
    <t> 5107834</t>
  </si>
  <si>
    <t>400-ASMG</t>
  </si>
  <si>
    <t>400-AURS</t>
  </si>
  <si>
    <t>OpzHDD1TB</t>
  </si>
  <si>
    <t>L1N07</t>
  </si>
  <si>
    <t>TS3L1-HDD1TB</t>
  </si>
  <si>
    <t>GCOWB60</t>
  </si>
  <si>
    <t>400-AXRX</t>
  </si>
  <si>
    <t>OpzSSD-RI800GB</t>
  </si>
  <si>
    <t>L1N08</t>
  </si>
  <si>
    <t>TS3L1-RI960GB</t>
  </si>
  <si>
    <t>GDAKNC1</t>
  </si>
  <si>
    <t>400-BDOB</t>
  </si>
  <si>
    <t>400-BDQT</t>
  </si>
  <si>
    <t>OpzSSD-RI400GB</t>
  </si>
  <si>
    <t>L1N09</t>
  </si>
  <si>
    <t>TS3L1-RI480GB</t>
  </si>
  <si>
    <t>TS3L1_PSU</t>
  </si>
  <si>
    <t>Single, Hot-plug Power Supply 1+0, 495W</t>
  </si>
  <si>
    <t> GBF3YIX</t>
  </si>
  <si>
    <t>450-AHVN</t>
  </si>
  <si>
    <t>GZ8351O</t>
  </si>
  <si>
    <t>450-AHVO</t>
  </si>
  <si>
    <t>450-AEBM</t>
  </si>
  <si>
    <t>L1N18</t>
  </si>
  <si>
    <t>TS3L1_PCI1</t>
  </si>
  <si>
    <t>[TS3L1-LAN1] Broadcom 5720 Dual Port 1GbE BASE-T Adapter</t>
  </si>
  <si>
    <t>Additional Network Cards</t>
  </si>
  <si>
    <t>GI7RBKF</t>
  </si>
  <si>
    <t>540-BBCX</t>
  </si>
  <si>
    <t>540-BBGY</t>
  </si>
  <si>
    <t>OpzGigabit</t>
  </si>
  <si>
    <t>L1N03</t>
  </si>
  <si>
    <t>TS3L1-LAN1</t>
  </si>
  <si>
    <t>[TS3L1-LAN1QP] Broadcom 5719 Quad Port 1GbE BASE-T Adapter</t>
  </si>
  <si>
    <t>GY5BHD0</t>
  </si>
  <si>
    <t>540-BBCW</t>
  </si>
  <si>
    <t>L1N19</t>
  </si>
  <si>
    <t>TS3L1-LAN1QP</t>
  </si>
  <si>
    <t>[TS3L1-I3502P] Intel Ethernet I350 Dual Port 1GbE BASE-T Adapter</t>
  </si>
  <si>
    <t>G3NO02S</t>
  </si>
  <si>
    <t>540-BBDH</t>
  </si>
  <si>
    <t>L1N20</t>
  </si>
  <si>
    <t>TS3L1-I3502P</t>
  </si>
  <si>
    <t>[TS3L1-I3504P] Intel Ethernet I350 Quad Port 1GbE BASE-T Adapter</t>
  </si>
  <si>
    <t>G3PC875</t>
  </si>
  <si>
    <t>540-BBDD</t>
  </si>
  <si>
    <t>L1N21</t>
  </si>
  <si>
    <t>TS3L1-I3504P</t>
  </si>
  <si>
    <t>[TS3L1-X550] Intel X550 Dual Port 10GbE BASE-T Adapter</t>
  </si>
  <si>
    <t>G4JBP29</t>
  </si>
  <si>
    <t>540-BBRO</t>
  </si>
  <si>
    <t>L1N22</t>
  </si>
  <si>
    <t>TS3L1-X550</t>
  </si>
  <si>
    <t>[TS3L1-X710] Intel X710 Dual Port 10GbE SFP+ Adapter</t>
  </si>
  <si>
    <t>G4BZI6S</t>
  </si>
  <si>
    <t>540-BBHP</t>
  </si>
  <si>
    <t>L1N23</t>
  </si>
  <si>
    <t>TS3L1-X710</t>
  </si>
  <si>
    <t>[TS3L1-E12002] Emulex LPE 12002 Dual Port 8Gb Fibre Channel HBA</t>
  </si>
  <si>
    <t>Fibre Channel Adapters/Converged Network Adapter</t>
  </si>
  <si>
    <t>G39XE5Y</t>
  </si>
  <si>
    <t>406-BBDY</t>
  </si>
  <si>
    <t>L1N24</t>
  </si>
  <si>
    <t>TS3L1-E12002</t>
  </si>
  <si>
    <t>[TS3L1-CtrlSAS] SAS 12Gbps HBA External Controller</t>
  </si>
  <si>
    <t>Additional PCIe Cards</t>
  </si>
  <si>
    <t>GHPM5DX</t>
  </si>
  <si>
    <t>405-AAEB</t>
  </si>
  <si>
    <t>L1N25</t>
  </si>
  <si>
    <t>TS3L1-CtrlSAS</t>
  </si>
  <si>
    <t>TS3L1_PCI2</t>
  </si>
  <si>
    <t>TS3L1_PCI3</t>
  </si>
  <si>
    <t>TS3L1_PCI4</t>
  </si>
  <si>
    <t>BOSS controller card + with 2 M.2 Sticks 480GB (RAID 1),FH</t>
  </si>
  <si>
    <t>TS3L1_BEZEL</t>
  </si>
  <si>
    <t>No Bezel</t>
  </si>
  <si>
    <t>Bezel</t>
  </si>
  <si>
    <t> GKGZ6OF</t>
  </si>
  <si>
    <t>350-BBBW</t>
  </si>
  <si>
    <t>G87WRUY</t>
  </si>
  <si>
    <t>Tower Security Bezel</t>
  </si>
  <si>
    <t>325-BCOO</t>
  </si>
  <si>
    <t>OpzBezel</t>
  </si>
  <si>
    <t>L1N26</t>
  </si>
  <si>
    <t>TS3L1-BEZEL</t>
  </si>
  <si>
    <t>TS3L1_DVD</t>
  </si>
  <si>
    <t>No Internal Optical Drive</t>
  </si>
  <si>
    <t>Internal Optical Drive</t>
  </si>
  <si>
    <t> G5M9GE3</t>
  </si>
  <si>
    <t>429-ABDL</t>
  </si>
  <si>
    <t>GR53HYI</t>
  </si>
  <si>
    <t>DVD +/-RW, SATA, Internal</t>
  </si>
  <si>
    <t>429-ABCJ</t>
  </si>
  <si>
    <t>OpzDVD</t>
  </si>
  <si>
    <t>L1N27</t>
  </si>
  <si>
    <t>TS3L1-DVD</t>
  </si>
  <si>
    <t>TS3L1_WARRANTY</t>
  </si>
  <si>
    <t>Manutenzione in garanzia (36 mesi)</t>
  </si>
  <si>
    <t>Dell Services: Extended Service</t>
  </si>
  <si>
    <t> G5IMJFP</t>
  </si>
  <si>
    <r>
      <t xml:space="preserve">RESTRICTED:ProSupport One Data Center and Next Business Day Onsite Service Volume Low, </t>
    </r>
    <r>
      <rPr>
        <sz val="10"/>
        <color rgb="FFFF0000"/>
        <rFont val="Calibri"/>
        <family val="2"/>
        <scheme val="minor"/>
      </rPr>
      <t>39 Month(s)</t>
    </r>
  </si>
  <si>
    <t>865-BBKY, 865-BBKZ</t>
  </si>
  <si>
    <t>[TS3L1-5Y] Manutenzione in garanzia (60 mesi)</t>
  </si>
  <si>
    <t>OpzEstensione24</t>
  </si>
  <si>
    <t>L1N17</t>
  </si>
  <si>
    <t>TS3L1-5Y</t>
  </si>
  <si>
    <t>TS3L1_KYHDD</t>
  </si>
  <si>
    <t>Keep Your Hard Drive</t>
  </si>
  <si>
    <t> GPZX1KQ</t>
  </si>
  <si>
    <t>711-BBBR</t>
  </si>
  <si>
    <t>OpzHDDRetention</t>
  </si>
  <si>
    <t>L1N16</t>
  </si>
  <si>
    <t>TS3L1-HDRTNTN</t>
  </si>
  <si>
    <t>Hard Disk Retention</t>
  </si>
  <si>
    <t>Embedded Systems Management</t>
  </si>
  <si>
    <t>iDRAC9,Enterprise</t>
  </si>
  <si>
    <t>Network Cards</t>
  </si>
  <si>
    <t>On-Board Broadcom 5720 Dual Port 1Gb LOM</t>
  </si>
  <si>
    <r>
      <t xml:space="preserve">PCI Slot 1 </t>
    </r>
    <r>
      <rPr>
        <sz val="10"/>
        <color theme="1"/>
        <rFont val="Calibri"/>
        <family val="2"/>
        <scheme val="minor"/>
      </rPr>
      <t>x8 PCIe Gen3 for FH/HL (x8 lanes)</t>
    </r>
  </si>
  <si>
    <t>Convenzione</t>
  </si>
  <si>
    <t>Totale</t>
  </si>
  <si>
    <t>Quantità Server</t>
  </si>
  <si>
    <t/>
  </si>
  <si>
    <t>Warranty</t>
  </si>
  <si>
    <r>
      <t xml:space="preserve">PCI Slot 4 </t>
    </r>
    <r>
      <rPr>
        <sz val="10"/>
        <color theme="1"/>
        <rFont val="Calibri"/>
        <family val="2"/>
        <scheme val="minor"/>
      </rPr>
      <t>x8 PCIe Gen3 for FH/HL (x4 lanes)</t>
    </r>
  </si>
  <si>
    <r>
      <t xml:space="preserve">PCI Slot 3 </t>
    </r>
    <r>
      <rPr>
        <sz val="10"/>
        <color theme="1"/>
        <rFont val="Calibri"/>
        <family val="2"/>
        <scheme val="minor"/>
      </rPr>
      <t>x1 PCIe Gen3 for FH/HL (x1 lanes)</t>
    </r>
  </si>
  <si>
    <r>
      <t xml:space="preserve">PCI Slot 2  </t>
    </r>
    <r>
      <rPr>
        <sz val="10"/>
        <color theme="1"/>
        <rFont val="Calibri"/>
        <family val="2"/>
        <scheme val="minor"/>
      </rPr>
      <t>x16 PCIe Gen3 for FH/HL (x8 lanes)</t>
    </r>
  </si>
  <si>
    <t>-=-=-=-=-=-=-=-=-=-=-=-=-=-=-=-=-20%-=-=-=-=-=-=-=-=-=-=-=-=-=-=-=-=-</t>
  </si>
  <si>
    <t>UPS</t>
  </si>
  <si>
    <t>TS3L1_UPS</t>
  </si>
  <si>
    <t>OpzUps (3000VA)</t>
  </si>
  <si>
    <t>L1N10</t>
  </si>
  <si>
    <t>TS3L1-UPS</t>
  </si>
  <si>
    <t>[TS3L1-UPS] UPS PowerMe RPMM/9K - 3000VA Tower</t>
  </si>
  <si>
    <t>TS3L1_GUI</t>
  </si>
  <si>
    <t>[TS3L1-GUI] Monitor DELL E1920H + Keyboard + Mouse</t>
  </si>
  <si>
    <t>OpzGUI per tower</t>
  </si>
  <si>
    <t>L1N11</t>
  </si>
  <si>
    <t>TS3L1-GUI</t>
  </si>
  <si>
    <t>Kit Graphical User Interface</t>
  </si>
  <si>
    <t>Configurazione RAID e/o NOTE</t>
  </si>
  <si>
    <t>OpzRJ45 3m</t>
  </si>
  <si>
    <t>TS3L1-RJ453M</t>
  </si>
  <si>
    <t>Qty:</t>
  </si>
  <si>
    <t>Description:</t>
  </si>
  <si>
    <t>Sku Number:</t>
  </si>
  <si>
    <t>Brand</t>
  </si>
  <si>
    <t>DELL</t>
  </si>
  <si>
    <t>400-BDPC</t>
  </si>
  <si>
    <t>TPMM/ 3K</t>
  </si>
  <si>
    <t>PowerME</t>
  </si>
  <si>
    <t>580-ADHM</t>
  </si>
  <si>
    <t>Mouse ottico Dell MS116 - nero</t>
  </si>
  <si>
    <t>570-AAIS</t>
  </si>
  <si>
    <t>BASE,DIS,MON,E1920H,EMEA</t>
  </si>
  <si>
    <t>210-AURI</t>
  </si>
  <si>
    <t>Italian 220V Power Cord</t>
  </si>
  <si>
    <t>450-ABCK</t>
  </si>
  <si>
    <t>SnP order - EMEA.</t>
  </si>
  <si>
    <t>800-10243</t>
  </si>
  <si>
    <t>39M Basic with Advanced Exchange Channel</t>
  </si>
  <si>
    <t>709-17931</t>
  </si>
  <si>
    <t>No Warranty Upgrade</t>
  </si>
  <si>
    <t>710-10844</t>
  </si>
  <si>
    <t>L1N13</t>
  </si>
  <si>
    <t>L1N14</t>
  </si>
  <si>
    <t>785-10921</t>
  </si>
  <si>
    <t>742-10105</t>
  </si>
  <si>
    <t>L1N28</t>
  </si>
  <si>
    <t>L1N29</t>
  </si>
  <si>
    <t>L1N30</t>
  </si>
  <si>
    <t>L1N31</t>
  </si>
  <si>
    <t>L1N32</t>
  </si>
  <si>
    <t>L1N33</t>
  </si>
  <si>
    <t>L1N34</t>
  </si>
  <si>
    <t>L1N35</t>
  </si>
  <si>
    <t>L1N36</t>
  </si>
  <si>
    <t>L1N37</t>
  </si>
  <si>
    <t>L1N38</t>
  </si>
  <si>
    <t>L1N39</t>
  </si>
  <si>
    <t>L1N40</t>
  </si>
  <si>
    <t>L1N41</t>
  </si>
  <si>
    <t>L1N42</t>
  </si>
  <si>
    <t>L1N43</t>
  </si>
  <si>
    <t>L1N44</t>
  </si>
  <si>
    <t>L1N45</t>
  </si>
  <si>
    <t>L1N46</t>
  </si>
  <si>
    <t>L1N47</t>
  </si>
  <si>
    <t>L1N48</t>
  </si>
  <si>
    <t>L1N49</t>
  </si>
  <si>
    <t>L1N50</t>
  </si>
  <si>
    <t>Server1</t>
  </si>
  <si>
    <t>Server2</t>
  </si>
  <si>
    <t>Server3</t>
  </si>
  <si>
    <t>Quantità</t>
  </si>
  <si>
    <t>Codice Articolo Produttore</t>
  </si>
  <si>
    <t>Codice Articolo Convenzione</t>
  </si>
  <si>
    <t>Descrizione</t>
  </si>
  <si>
    <t>Costo unitario</t>
  </si>
  <si>
    <t>Costo complessivo</t>
  </si>
  <si>
    <t>Totale iva esclusa</t>
  </si>
  <si>
    <t>TOTALE ORDINE</t>
  </si>
  <si>
    <t>PowerEdge T340 Configurazione 3</t>
  </si>
  <si>
    <t>PowerEdge T340 Configurazione 2</t>
  </si>
  <si>
    <t>PowerEdge T340 Configurazione 1</t>
  </si>
  <si>
    <t>AREA RISERVATA AL FORNITORE</t>
  </si>
  <si>
    <t>VERIFICA STAGING</t>
  </si>
  <si>
    <t>VERIFICA INSTALLATORE</t>
  </si>
  <si>
    <t>Ente:</t>
  </si>
  <si>
    <t>Ordine N.</t>
  </si>
  <si>
    <t>Data</t>
  </si>
  <si>
    <t>Referente Consegna</t>
  </si>
  <si>
    <t>Referente Installazione</t>
  </si>
  <si>
    <t>Telefono</t>
  </si>
  <si>
    <t>email</t>
  </si>
  <si>
    <t>ente</t>
  </si>
  <si>
    <t>N°ordine</t>
  </si>
  <si>
    <t>ref1</t>
  </si>
  <si>
    <t>tel1</t>
  </si>
  <si>
    <t>mail1</t>
  </si>
  <si>
    <t>ref2</t>
  </si>
  <si>
    <t>tel2</t>
  </si>
  <si>
    <t>mail2</t>
  </si>
  <si>
    <t>data</t>
  </si>
  <si>
    <t>ERRORE1</t>
  </si>
  <si>
    <t>ERRORE3</t>
  </si>
  <si>
    <t>Verifica Errori</t>
  </si>
  <si>
    <t>Totale IVA incl.</t>
  </si>
  <si>
    <t>I.V.A.</t>
  </si>
  <si>
    <t>Ulteriori componenti opzionali (20%)</t>
  </si>
  <si>
    <t>Valore economico 20% consentito</t>
  </si>
  <si>
    <t>Specificare la configurazione RAID per l'installazione del Sistema Operativo, se richiesto.
e/o
inserire eventuali note.</t>
  </si>
  <si>
    <t>Waning4</t>
  </si>
  <si>
    <t>Warning2</t>
  </si>
  <si>
    <t>TS3L11PSU</t>
  </si>
  <si>
    <t>TS3L12PSU</t>
  </si>
  <si>
    <t>TECNOLOGIE SERVER 3 LOTTO 1 - LISTA ARTICOLI IN CONVENZIONE -</t>
  </si>
  <si>
    <t>TECNOLOGIE SERVER 3 LOTTO 1 - LISTA ULTERIORI ARTICOLI IN CONVENZIONE (20%) -</t>
  </si>
  <si>
    <t>Powerme Online UPS RPMM/9 3K, Tower, SNMP card</t>
  </si>
  <si>
    <t>Windows Server 2019,Essentials, ROK</t>
  </si>
  <si>
    <t>Estensione della manutenzione in garanzia per ulteriori 24 mesi</t>
  </si>
  <si>
    <t>cavo “patch” di 3 mt RJ45 certificato per gigabit ethernet</t>
  </si>
  <si>
    <t>Cavo “patch” di 3 mt RJ45 certificato per gigabit ethernet</t>
  </si>
  <si>
    <t>429-ABIE</t>
  </si>
  <si>
    <t>470-ACNV</t>
  </si>
  <si>
    <t>Tower Bezel, PowerEdge, T340</t>
  </si>
  <si>
    <t>DVD+/-RW, SATA, Internal</t>
  </si>
  <si>
    <t>TS3L1-SAS2M</t>
  </si>
  <si>
    <t>TS3L1-SAS05M</t>
  </si>
  <si>
    <t>TS3L1-SAS6M</t>
  </si>
  <si>
    <t>TS3L1-SAS4M</t>
  </si>
  <si>
    <t>403-BCNL</t>
  </si>
  <si>
    <t>SFP+ Transceivers</t>
  </si>
  <si>
    <t>SFP+ SR Optic for all SFP+ ports</t>
  </si>
  <si>
    <t>SFP+ Direct Attach Cables (Twinax)</t>
  </si>
  <si>
    <t>Dell Networking, Cable, SFP+ to SFP+, 10GbE, Copper Twinax Direct Attach Cable, 1 Meter</t>
  </si>
  <si>
    <t>Dell Networking, Cable, SFP+ to SFP+, 10GbE, Copper Twinax Direct Attach Cable, 3 Meter</t>
  </si>
  <si>
    <t>Dell Networking, Cable, SFP+ to SFP+, 10GbE, Copper Twinax Direct Attach Cable, 5 Meter</t>
  </si>
  <si>
    <t>RJ45 Cables</t>
  </si>
  <si>
    <t>SAS Cables</t>
  </si>
  <si>
    <t>12Gb HD-Mini to HD-Mini SAS Cable, 2M</t>
  </si>
  <si>
    <t>12Gb HD-Mini to HD-Mini SAS Cable, 6M</t>
  </si>
  <si>
    <t>12Gb HD-Mini SAS cable, 0.5m</t>
  </si>
  <si>
    <t>12Gb HD-Mini SAS cable, 2m</t>
  </si>
  <si>
    <t>12Gb Mini-SAS HD to Mini-SAS HD Cable, 4m</t>
  </si>
  <si>
    <t>TS3L1-SFPALL</t>
  </si>
  <si>
    <t>TS3L1-DAC1M</t>
  </si>
  <si>
    <t>TS3L1-DAC3M</t>
  </si>
  <si>
    <t>TS3L1-DAC5M</t>
  </si>
  <si>
    <t>TS3L1-SAS2MB</t>
  </si>
  <si>
    <t>TS3L1_SAS</t>
  </si>
  <si>
    <t>TS3L1_DAC</t>
  </si>
  <si>
    <t>TS3L1-RI800GB</t>
  </si>
  <si>
    <t>TS3L1-RI400GB</t>
  </si>
  <si>
    <t>DELL PowerEdge T340 Server</t>
  </si>
  <si>
    <t>16GB - 2Rx8 DDR4 UDIMM 2666MHz</t>
  </si>
  <si>
    <t>Scheda LAN 5720 DP 1Gb Full</t>
  </si>
  <si>
    <t>HDD 8TB 7.2K SATA 6Gbps 3.5in Hot-plug</t>
  </si>
  <si>
    <t>HDD 4TB 7.2K SATA 6Gbps 3.5in Hot-plug</t>
  </si>
  <si>
    <t>HDD 2TB 7.2K SATA 6Gbps 3.5in Hot-plug</t>
  </si>
  <si>
    <t>HDD 1TB 7.2K SATA 6Gbps 3.5in Hot-plug</t>
  </si>
  <si>
    <t>SSD 960GB SATA RI 6Gbps 2.5in in 3.5in Hybrid Carrier, 1 DWPD</t>
  </si>
  <si>
    <t>SSD 480GB SATA RI 6Gbps 2.5in in 3.5in Hybrid Carrier, 1 DWPD</t>
  </si>
  <si>
    <t>KIT Monitor 19" E1920H + Mouse MS116 + Tastiera KB216</t>
  </si>
  <si>
    <t>[TS3L1-RI800GB] 960GB SSD SATA Read Intensive 6Gbps Hot-plug Hard Drive</t>
  </si>
  <si>
    <t>[TS3L1-RI400GB] 480GB SSD SATA Read Intensive 6Gbps Hot-plug Hard Drive</t>
  </si>
  <si>
    <t>L1N02-OpzRAM16GB</t>
  </si>
  <si>
    <t>L1N03-OpzGigabit</t>
  </si>
  <si>
    <t>L1N04-OpzHDD8TB</t>
  </si>
  <si>
    <t>L1N05-OpzHDD4TB</t>
  </si>
  <si>
    <t>L1N06-OpzHDD2TB</t>
  </si>
  <si>
    <t>L1N07-OpzHDD1TB</t>
  </si>
  <si>
    <t>L1N08-OpzSSD-RI800GB</t>
  </si>
  <si>
    <t>L1N09-OpzSSD-RI400GB</t>
  </si>
  <si>
    <t>L1N10-OpzUps</t>
  </si>
  <si>
    <t>L1N12-OpzWinServESS</t>
  </si>
  <si>
    <t>L1N15-OpzOpenSource</t>
  </si>
  <si>
    <t>L1N16-OpzHDDRetention</t>
  </si>
  <si>
    <t>L1N17-OpzEstensione24</t>
  </si>
  <si>
    <t>L1N11-OpzGUI</t>
  </si>
  <si>
    <t>L1N01-ServerT340</t>
  </si>
  <si>
    <t>TS3L1-NATO</t>
  </si>
  <si>
    <t>L1N50-OpzCodiceNATO</t>
  </si>
  <si>
    <t>Codifica NATO</t>
  </si>
  <si>
    <t>OpzHDDRetention60</t>
  </si>
  <si>
    <t>TS3L1-HDRTNTN60</t>
  </si>
  <si>
    <t>Hard Disk Retention 36 mesi</t>
  </si>
  <si>
    <t>Hard Disk Retention 60 mesi</t>
  </si>
  <si>
    <t>Hard Disk Retention (60 mesi)</t>
  </si>
  <si>
    <t>L1N19-OpzHDDRetention60</t>
  </si>
  <si>
    <t>TS3-OpzA20RJ45</t>
  </si>
  <si>
    <t>TS3-OpzA20DVD</t>
  </si>
  <si>
    <t>inizio 20%</t>
  </si>
  <si>
    <t>TS3-OpzA20BT340</t>
  </si>
  <si>
    <t>TS3L1-PSUDVDBZL</t>
  </si>
  <si>
    <t>Kit per T340 composto da: Hot-plug Power Supply 495W, DVD+/-RW SATA interno, Security Bezel</t>
  </si>
  <si>
    <t>TS3-OpzA20T340K</t>
  </si>
  <si>
    <t>[TS3L1-PSUDVDBZL] Tower Security Bezel</t>
  </si>
  <si>
    <t>[TS3L1-PSUDVDBZL] DVD +/-RW, SATA, Internal</t>
  </si>
  <si>
    <t>[TS3L1-PSUDVDBZL] Dual, Hot-plug, Redundant Power Supply 1+1, 495W</t>
  </si>
  <si>
    <r>
      <t xml:space="preserve">POWEREDGE T340          </t>
    </r>
    <r>
      <rPr>
        <b/>
        <sz val="10"/>
        <color theme="4" tint="-0.249977111117893"/>
        <rFont val="Calibri"/>
        <family val="2"/>
        <scheme val="minor"/>
      </rPr>
      <t>Consulta la Guida alla Convenzione ---&gt;</t>
    </r>
  </si>
  <si>
    <t>Version 2.6</t>
  </si>
  <si>
    <t>SI CHIEDE RAID 1 ANCHE PER I DUE DISCHI AGGIUNTIVI DA 1 TB SENZA PARTIZIONI. GLI SSD INTERNI DA 480 GB (RAID1) ANDRANNO PARTIZIONATI IN DUE PARTI PIU' O MENO EQUIVALENTI CON SISTEMA OPERATIVO IN UNA PARTE E DATI NELL'ALTRA.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</si>
</sst>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_ ;\-#,##0\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9.9"/>
      <color rgb="FFFFFFFF"/>
      <name val="Verdana"/>
      <family val="2"/>
    </font>
    <font>
      <b/>
      <sz val="9.9"/>
      <color rgb="FF333333"/>
      <name val="Verdana"/>
      <family val="2"/>
    </font>
    <font>
      <sz val="9.9"/>
      <color rgb="FF333333"/>
      <name val="Verdana"/>
      <family val="2"/>
    </font>
    <font>
      <b/>
      <sz val="9.9"/>
      <color theme="5" tint="-0.249977111117893"/>
      <name val="Verdana"/>
      <family val="2"/>
    </font>
    <font>
      <sz val="9.9"/>
      <color theme="5" tint="-0.249977111117893"/>
      <name val="Verdana"/>
      <family val="2"/>
    </font>
    <font>
      <sz val="10"/>
      <color theme="4" tint="-0.249977111117893"/>
      <name val="Calibri"/>
      <family val="2"/>
      <scheme val="minor"/>
    </font>
    <font>
      <b/>
      <sz val="10"/>
      <color rgb="FFFFFFFF"/>
      <name val="Verdana"/>
      <family val="2"/>
    </font>
    <font>
      <sz val="10"/>
      <color rgb="FF333333"/>
      <name val="Verdana"/>
      <family val="2"/>
    </font>
    <font>
      <sz val="10"/>
      <color theme="5" tint="-0.249977111117893"/>
      <name val="Verdana"/>
      <family val="2"/>
    </font>
    <font>
      <sz val="10"/>
      <color theme="0"/>
      <name val="Calibri"/>
      <family val="2"/>
      <scheme val="minor"/>
    </font>
    <font>
      <sz val="10"/>
      <color rgb="FF000000"/>
      <name val="Verdana"/>
      <family val="2"/>
    </font>
    <font>
      <b/>
      <sz val="18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4"/>
      <color rgb="FF000000"/>
      <name val="Verdana"/>
      <family val="2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9.9"/>
      <name val="Verdana"/>
      <family val="2"/>
    </font>
    <font>
      <sz val="13"/>
      <name val="Calibri"/>
      <family val="2"/>
      <scheme val="minor"/>
    </font>
    <font>
      <sz val="8"/>
      <color rgb="FF002060"/>
      <name val="Century Gothic"/>
      <family val="2"/>
    </font>
    <font>
      <b/>
      <sz val="24"/>
      <color theme="4"/>
      <name val="Wingdings"/>
      <charset val="2"/>
    </font>
    <font>
      <b/>
      <vertAlign val="subscript"/>
      <sz val="48"/>
      <color theme="4"/>
      <name val="Webdings"/>
      <family val="1"/>
      <charset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544F4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1EDE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4" tint="-0.24994659260841701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44" fontId="2" fillId="0" borderId="1" xfId="1" applyFont="1" applyBorder="1"/>
    <xf numFmtId="44" fontId="0" fillId="0" borderId="0" xfId="1" applyFont="1"/>
    <xf numFmtId="0" fontId="4" fillId="3" borderId="1" xfId="0" applyFont="1" applyFill="1" applyBorder="1"/>
    <xf numFmtId="0" fontId="2" fillId="4" borderId="1" xfId="0" applyFont="1" applyFill="1" applyBorder="1"/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/>
    <xf numFmtId="0" fontId="2" fillId="4" borderId="2" xfId="0" applyFont="1" applyFill="1" applyBorder="1" applyAlignment="1">
      <alignment vertical="top" wrapText="1"/>
    </xf>
    <xf numFmtId="0" fontId="2" fillId="0" borderId="0" xfId="0" applyFont="1" applyBorder="1"/>
    <xf numFmtId="0" fontId="7" fillId="0" borderId="1" xfId="0" applyFont="1" applyBorder="1"/>
    <xf numFmtId="0" fontId="7" fillId="4" borderId="1" xfId="0" applyFont="1" applyFill="1" applyBorder="1"/>
    <xf numFmtId="0" fontId="7" fillId="0" borderId="1" xfId="0" applyFont="1" applyBorder="1" applyAlignment="1">
      <alignment horizontal="center" vertical="center"/>
    </xf>
    <xf numFmtId="8" fontId="7" fillId="0" borderId="1" xfId="0" applyNumberFormat="1" applyFont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8" fontId="2" fillId="5" borderId="1" xfId="0" applyNumberFormat="1" applyFont="1" applyFill="1" applyBorder="1"/>
    <xf numFmtId="44" fontId="2" fillId="5" borderId="1" xfId="1" applyFont="1" applyFill="1" applyBorder="1"/>
    <xf numFmtId="0" fontId="2" fillId="0" borderId="1" xfId="0" applyFont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8" fontId="2" fillId="6" borderId="1" xfId="0" applyNumberFormat="1" applyFont="1" applyFill="1" applyBorder="1"/>
    <xf numFmtId="0" fontId="2" fillId="2" borderId="0" xfId="0" applyFont="1" applyFill="1" applyBorder="1"/>
    <xf numFmtId="0" fontId="2" fillId="0" borderId="1" xfId="0" applyFont="1" applyFill="1" applyBorder="1"/>
    <xf numFmtId="0" fontId="2" fillId="0" borderId="1" xfId="0" quotePrefix="1" applyFont="1" applyBorder="1"/>
    <xf numFmtId="0" fontId="11" fillId="8" borderId="5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  <xf numFmtId="44" fontId="13" fillId="9" borderId="5" xfId="1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left" vertical="center" wrapText="1"/>
    </xf>
    <xf numFmtId="0" fontId="13" fillId="10" borderId="5" xfId="0" applyFont="1" applyFill="1" applyBorder="1" applyAlignment="1">
      <alignment horizontal="left" vertical="center" wrapText="1"/>
    </xf>
    <xf numFmtId="44" fontId="13" fillId="10" borderId="5" xfId="1" applyFont="1" applyFill="1" applyBorder="1" applyAlignment="1">
      <alignment horizontal="left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  <xf numFmtId="0" fontId="15" fillId="10" borderId="5" xfId="0" applyFont="1" applyFill="1" applyBorder="1" applyAlignment="1">
      <alignment horizontal="left" vertical="center" wrapText="1"/>
    </xf>
    <xf numFmtId="44" fontId="15" fillId="10" borderId="5" xfId="1" applyFont="1" applyFill="1" applyBorder="1" applyAlignment="1">
      <alignment horizontal="left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5" fillId="9" borderId="5" xfId="0" applyFont="1" applyFill="1" applyBorder="1" applyAlignment="1">
      <alignment horizontal="left" vertical="center" wrapText="1"/>
    </xf>
    <xf numFmtId="44" fontId="15" fillId="9" borderId="5" xfId="1" applyFont="1" applyFill="1" applyBorder="1" applyAlignment="1">
      <alignment horizontal="left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44" fontId="18" fillId="9" borderId="5" xfId="1" applyFont="1" applyFill="1" applyBorder="1" applyAlignment="1">
      <alignment horizontal="left" vertical="center" wrapText="1"/>
    </xf>
    <xf numFmtId="0" fontId="18" fillId="9" borderId="5" xfId="0" applyFont="1" applyFill="1" applyBorder="1" applyAlignment="1">
      <alignment horizontal="left" vertical="center" wrapText="1"/>
    </xf>
    <xf numFmtId="44" fontId="2" fillId="0" borderId="0" xfId="0" applyNumberFormat="1" applyFont="1"/>
    <xf numFmtId="0" fontId="2" fillId="0" borderId="0" xfId="0" applyNumberFormat="1" applyFont="1"/>
    <xf numFmtId="44" fontId="18" fillId="10" borderId="5" xfId="1" applyFont="1" applyFill="1" applyBorder="1" applyAlignment="1">
      <alignment horizontal="left" vertical="center" wrapText="1"/>
    </xf>
    <xf numFmtId="0" fontId="18" fillId="10" borderId="5" xfId="0" applyFont="1" applyFill="1" applyBorder="1" applyAlignment="1">
      <alignment horizontal="left" vertical="center" wrapText="1"/>
    </xf>
    <xf numFmtId="44" fontId="19" fillId="10" borderId="5" xfId="1" applyFont="1" applyFill="1" applyBorder="1" applyAlignment="1">
      <alignment horizontal="left" vertical="center" wrapText="1"/>
    </xf>
    <xf numFmtId="0" fontId="19" fillId="10" borderId="5" xfId="0" applyFont="1" applyFill="1" applyBorder="1" applyAlignment="1">
      <alignment horizontal="left" vertical="center" wrapText="1"/>
    </xf>
    <xf numFmtId="44" fontId="19" fillId="9" borderId="5" xfId="1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horizontal="left" vertical="center" wrapText="1"/>
    </xf>
    <xf numFmtId="44" fontId="2" fillId="4" borderId="0" xfId="0" applyNumberFormat="1" applyFont="1" applyFill="1"/>
    <xf numFmtId="0" fontId="2" fillId="4" borderId="0" xfId="0" applyNumberFormat="1" applyFont="1" applyFill="1"/>
    <xf numFmtId="0" fontId="2" fillId="4" borderId="0" xfId="0" applyFont="1" applyFill="1"/>
    <xf numFmtId="0" fontId="7" fillId="0" borderId="0" xfId="0" applyFont="1"/>
    <xf numFmtId="0" fontId="23" fillId="0" borderId="0" xfId="0" applyFont="1"/>
    <xf numFmtId="0" fontId="2" fillId="2" borderId="14" xfId="0" applyFont="1" applyFill="1" applyBorder="1"/>
    <xf numFmtId="0" fontId="2" fillId="2" borderId="13" xfId="0" applyFont="1" applyFill="1" applyBorder="1"/>
    <xf numFmtId="0" fontId="2" fillId="2" borderId="0" xfId="0" applyFont="1" applyFill="1" applyProtection="1">
      <protection hidden="1"/>
    </xf>
    <xf numFmtId="0" fontId="2" fillId="2" borderId="10" xfId="0" applyFont="1" applyFill="1" applyBorder="1" applyProtection="1">
      <protection hidden="1"/>
    </xf>
    <xf numFmtId="0" fontId="16" fillId="2" borderId="11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Protection="1">
      <protection hidden="1"/>
    </xf>
    <xf numFmtId="0" fontId="21" fillId="2" borderId="11" xfId="0" applyFont="1" applyFill="1" applyBorder="1" applyAlignment="1" applyProtection="1">
      <protection hidden="1"/>
    </xf>
    <xf numFmtId="44" fontId="16" fillId="2" borderId="11" xfId="1" applyFont="1" applyFill="1" applyBorder="1" applyProtection="1">
      <protection hidden="1"/>
    </xf>
    <xf numFmtId="0" fontId="2" fillId="2" borderId="12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13" xfId="0" applyFont="1" applyFill="1" applyBorder="1" applyProtection="1">
      <protection hidden="1"/>
    </xf>
    <xf numFmtId="0" fontId="2" fillId="2" borderId="14" xfId="0" applyFont="1" applyFill="1" applyBorder="1" applyProtection="1">
      <protection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Border="1" applyProtection="1">
      <protection hidden="1"/>
    </xf>
    <xf numFmtId="44" fontId="16" fillId="2" borderId="0" xfId="1" applyFont="1" applyFill="1" applyBorder="1" applyProtection="1">
      <protection hidden="1"/>
    </xf>
    <xf numFmtId="0" fontId="24" fillId="2" borderId="0" xfId="0" applyFont="1" applyFill="1" applyBorder="1" applyAlignment="1" applyProtection="1">
      <protection hidden="1"/>
    </xf>
    <xf numFmtId="0" fontId="24" fillId="2" borderId="0" xfId="0" applyFont="1" applyFill="1" applyBorder="1" applyAlignment="1" applyProtection="1">
      <alignment horizontal="right"/>
      <protection hidden="1"/>
    </xf>
    <xf numFmtId="0" fontId="2" fillId="2" borderId="15" xfId="0" applyFont="1" applyFill="1" applyBorder="1" applyProtection="1">
      <protection hidden="1"/>
    </xf>
    <xf numFmtId="0" fontId="16" fillId="2" borderId="16" xfId="0" applyFont="1" applyFill="1" applyBorder="1" applyAlignment="1" applyProtection="1">
      <alignment horizontal="center" vertical="center"/>
      <protection hidden="1"/>
    </xf>
    <xf numFmtId="0" fontId="16" fillId="2" borderId="16" xfId="0" applyFont="1" applyFill="1" applyBorder="1" applyProtection="1">
      <protection hidden="1"/>
    </xf>
    <xf numFmtId="44" fontId="16" fillId="2" borderId="16" xfId="1" applyFont="1" applyFill="1" applyBorder="1" applyProtection="1">
      <protection hidden="1"/>
    </xf>
    <xf numFmtId="0" fontId="2" fillId="2" borderId="17" xfId="0" applyFont="1" applyFill="1" applyBorder="1" applyProtection="1">
      <protection hidden="1"/>
    </xf>
    <xf numFmtId="0" fontId="16" fillId="2" borderId="11" xfId="0" applyFont="1" applyFill="1" applyBorder="1" applyProtection="1">
      <protection hidden="1"/>
    </xf>
    <xf numFmtId="0" fontId="16" fillId="2" borderId="19" xfId="0" applyFont="1" applyFill="1" applyBorder="1" applyProtection="1">
      <protection hidden="1"/>
    </xf>
    <xf numFmtId="44" fontId="16" fillId="2" borderId="19" xfId="1" applyFont="1" applyFill="1" applyBorder="1" applyProtection="1">
      <protection hidden="1"/>
    </xf>
    <xf numFmtId="0" fontId="2" fillId="0" borderId="0" xfId="0" applyFont="1" applyProtection="1">
      <protection hidden="1"/>
    </xf>
    <xf numFmtId="0" fontId="2" fillId="2" borderId="16" xfId="0" applyFont="1" applyFill="1" applyBorder="1" applyProtection="1">
      <protection hidden="1"/>
    </xf>
    <xf numFmtId="0" fontId="21" fillId="2" borderId="0" xfId="0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22" fillId="2" borderId="0" xfId="0" applyFont="1" applyFill="1" applyBorder="1" applyAlignment="1" applyProtection="1">
      <alignment horizontal="center"/>
      <protection hidden="1"/>
    </xf>
    <xf numFmtId="0" fontId="9" fillId="2" borderId="0" xfId="0" applyFont="1" applyFill="1" applyBorder="1" applyAlignment="1" applyProtection="1">
      <alignment horizontal="center" vertical="center"/>
      <protection hidden="1"/>
    </xf>
    <xf numFmtId="44" fontId="25" fillId="2" borderId="2" xfId="0" applyNumberFormat="1" applyFont="1" applyFill="1" applyBorder="1" applyAlignment="1" applyProtection="1">
      <alignment vertical="center"/>
      <protection hidden="1"/>
    </xf>
    <xf numFmtId="44" fontId="25" fillId="13" borderId="2" xfId="0" applyNumberFormat="1" applyFont="1" applyFill="1" applyBorder="1" applyAlignment="1" applyProtection="1">
      <alignment vertical="center"/>
      <protection hidden="1"/>
    </xf>
    <xf numFmtId="44" fontId="28" fillId="14" borderId="2" xfId="0" applyNumberFormat="1" applyFont="1" applyFill="1" applyBorder="1" applyAlignment="1" applyProtection="1">
      <alignment vertical="center"/>
      <protection hidden="1"/>
    </xf>
    <xf numFmtId="0" fontId="30" fillId="11" borderId="6" xfId="0" applyFont="1" applyFill="1" applyBorder="1" applyAlignment="1" applyProtection="1">
      <alignment horizontal="center" vertical="center"/>
      <protection hidden="1"/>
    </xf>
    <xf numFmtId="44" fontId="31" fillId="2" borderId="6" xfId="0" applyNumberFormat="1" applyFont="1" applyFill="1" applyBorder="1" applyProtection="1">
      <protection hidden="1"/>
    </xf>
    <xf numFmtId="0" fontId="31" fillId="0" borderId="7" xfId="0" applyFont="1" applyFill="1" applyBorder="1" applyAlignment="1" applyProtection="1">
      <alignment horizontal="center" vertical="center"/>
      <protection hidden="1"/>
    </xf>
    <xf numFmtId="0" fontId="31" fillId="0" borderId="2" xfId="0" applyFont="1" applyFill="1" applyBorder="1" applyAlignment="1" applyProtection="1">
      <alignment vertical="center"/>
      <protection hidden="1"/>
    </xf>
    <xf numFmtId="0" fontId="6" fillId="0" borderId="2" xfId="0" applyFont="1" applyFill="1" applyBorder="1" applyAlignment="1" applyProtection="1">
      <alignment vertical="center" wrapText="1"/>
      <protection hidden="1"/>
    </xf>
    <xf numFmtId="44" fontId="28" fillId="0" borderId="2" xfId="1" applyFont="1" applyFill="1" applyBorder="1" applyAlignment="1" applyProtection="1">
      <alignment vertical="center"/>
      <protection hidden="1"/>
    </xf>
    <xf numFmtId="44" fontId="33" fillId="0" borderId="2" xfId="1" applyFont="1" applyFill="1" applyBorder="1" applyAlignment="1" applyProtection="1">
      <alignment vertical="center"/>
      <protection hidden="1"/>
    </xf>
    <xf numFmtId="0" fontId="31" fillId="15" borderId="7" xfId="0" applyFont="1" applyFill="1" applyBorder="1" applyAlignment="1" applyProtection="1">
      <alignment horizontal="center" vertical="center"/>
      <protection hidden="1"/>
    </xf>
    <xf numFmtId="0" fontId="31" fillId="15" borderId="2" xfId="0" applyFont="1" applyFill="1" applyBorder="1" applyAlignment="1" applyProtection="1">
      <alignment vertical="center"/>
      <protection hidden="1"/>
    </xf>
    <xf numFmtId="0" fontId="6" fillId="15" borderId="2" xfId="0" applyFont="1" applyFill="1" applyBorder="1" applyAlignment="1" applyProtection="1">
      <alignment vertical="center" wrapText="1"/>
      <protection hidden="1"/>
    </xf>
    <xf numFmtId="44" fontId="28" fillId="15" borderId="2" xfId="1" applyFont="1" applyFill="1" applyBorder="1" applyAlignment="1" applyProtection="1">
      <alignment vertical="center"/>
      <protection hidden="1"/>
    </xf>
    <xf numFmtId="44" fontId="33" fillId="15" borderId="2" xfId="1" applyFont="1" applyFill="1" applyBorder="1" applyAlignment="1" applyProtection="1">
      <alignment vertical="center"/>
      <protection hidden="1"/>
    </xf>
    <xf numFmtId="0" fontId="20" fillId="12" borderId="0" xfId="0" applyFont="1" applyFill="1" applyBorder="1" applyAlignment="1" applyProtection="1">
      <alignment horizontal="center" vertical="center" wrapText="1"/>
      <protection hidden="1"/>
    </xf>
    <xf numFmtId="44" fontId="27" fillId="17" borderId="2" xfId="0" applyNumberFormat="1" applyFont="1" applyFill="1" applyBorder="1" applyAlignment="1" applyProtection="1">
      <alignment vertical="center"/>
      <protection hidden="1"/>
    </xf>
    <xf numFmtId="0" fontId="31" fillId="18" borderId="6" xfId="0" applyFont="1" applyFill="1" applyBorder="1" applyProtection="1">
      <protection locked="0"/>
    </xf>
    <xf numFmtId="14" fontId="31" fillId="18" borderId="6" xfId="0" applyNumberFormat="1" applyFont="1" applyFill="1" applyBorder="1" applyProtection="1">
      <protection locked="0"/>
    </xf>
    <xf numFmtId="0" fontId="0" fillId="2" borderId="10" xfId="0" applyFill="1" applyBorder="1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0" fillId="2" borderId="14" xfId="0" applyFill="1" applyBorder="1" applyProtection="1"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0" fillId="2" borderId="15" xfId="0" applyFill="1" applyBorder="1" applyProtection="1">
      <protection hidden="1"/>
    </xf>
    <xf numFmtId="0" fontId="0" fillId="2" borderId="16" xfId="0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7" fillId="4" borderId="0" xfId="0" applyFont="1" applyFill="1"/>
    <xf numFmtId="0" fontId="5" fillId="19" borderId="0" xfId="0" applyFont="1" applyFill="1" applyBorder="1" applyAlignment="1" applyProtection="1">
      <alignment horizontal="center" vertical="center" wrapText="1"/>
      <protection hidden="1"/>
    </xf>
    <xf numFmtId="0" fontId="5" fillId="12" borderId="0" xfId="0" applyFont="1" applyFill="1" applyBorder="1" applyAlignment="1" applyProtection="1">
      <alignment horizontal="center" vertical="center" wrapText="1"/>
      <protection hidden="1"/>
    </xf>
    <xf numFmtId="44" fontId="2" fillId="2" borderId="0" xfId="1" applyFont="1" applyFill="1" applyBorder="1" applyProtection="1">
      <protection hidden="1"/>
    </xf>
    <xf numFmtId="0" fontId="0" fillId="2" borderId="0" xfId="0" applyFill="1" applyProtection="1">
      <protection hidden="1"/>
    </xf>
    <xf numFmtId="44" fontId="0" fillId="2" borderId="0" xfId="1" applyFont="1" applyFill="1" applyProtection="1"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44" fontId="2" fillId="0" borderId="1" xfId="1" applyFont="1" applyBorder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Protection="1">
      <protection hidden="1"/>
    </xf>
    <xf numFmtId="0" fontId="0" fillId="2" borderId="3" xfId="0" applyFill="1" applyBorder="1" applyProtection="1">
      <protection hidden="1"/>
    </xf>
    <xf numFmtId="44" fontId="0" fillId="2" borderId="3" xfId="1" applyFont="1" applyFill="1" applyBorder="1" applyProtection="1">
      <protection hidden="1"/>
    </xf>
    <xf numFmtId="44" fontId="0" fillId="0" borderId="0" xfId="1" applyFont="1" applyProtection="1">
      <protection hidden="1"/>
    </xf>
    <xf numFmtId="0" fontId="0" fillId="2" borderId="0" xfId="0" applyFill="1"/>
    <xf numFmtId="0" fontId="6" fillId="0" borderId="6" xfId="0" applyFont="1" applyFill="1" applyBorder="1" applyProtection="1">
      <protection hidden="1"/>
    </xf>
    <xf numFmtId="0" fontId="34" fillId="2" borderId="0" xfId="0" applyFont="1" applyFill="1" applyBorder="1" applyProtection="1"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30" fillId="13" borderId="6" xfId="0" applyFont="1" applyFill="1" applyBorder="1" applyAlignment="1" applyProtection="1">
      <alignment horizontal="center" vertical="center"/>
      <protection hidden="1"/>
    </xf>
    <xf numFmtId="0" fontId="2" fillId="20" borderId="1" xfId="0" applyFont="1" applyFill="1" applyBorder="1"/>
    <xf numFmtId="0" fontId="2" fillId="0" borderId="2" xfId="0" applyFont="1" applyBorder="1" applyAlignment="1">
      <alignment vertical="top" wrapText="1"/>
    </xf>
    <xf numFmtId="44" fontId="15" fillId="5" borderId="5" xfId="1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14" fillId="5" borderId="5" xfId="0" applyFont="1" applyFill="1" applyBorder="1" applyAlignment="1">
      <alignment horizontal="left" vertical="center" wrapText="1"/>
    </xf>
    <xf numFmtId="44" fontId="35" fillId="5" borderId="5" xfId="1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center" vertical="center" wrapText="1"/>
    </xf>
    <xf numFmtId="44" fontId="15" fillId="5" borderId="5" xfId="0" applyNumberFormat="1" applyFont="1" applyFill="1" applyBorder="1" applyAlignment="1">
      <alignment horizontal="left" vertical="center" wrapText="1"/>
    </xf>
    <xf numFmtId="0" fontId="4" fillId="0" borderId="22" xfId="0" applyFont="1" applyBorder="1" applyAlignment="1" applyProtection="1">
      <alignment vertical="center"/>
      <protection hidden="1"/>
    </xf>
    <xf numFmtId="164" fontId="8" fillId="4" borderId="21" xfId="1" applyNumberFormat="1" applyFont="1" applyFill="1" applyBorder="1" applyAlignment="1" applyProtection="1">
      <alignment horizontal="center" vertical="center"/>
      <protection locked="0" hidden="1"/>
    </xf>
    <xf numFmtId="44" fontId="2" fillId="0" borderId="23" xfId="1" applyFont="1" applyBorder="1" applyProtection="1"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Fill="1" applyBorder="1" applyAlignment="1" applyProtection="1">
      <alignment horizontal="center" vertical="center"/>
      <protection hidden="1"/>
    </xf>
    <xf numFmtId="0" fontId="13" fillId="9" borderId="5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 applyProtection="1">
      <alignment vertical="center"/>
      <protection hidden="1"/>
    </xf>
    <xf numFmtId="0" fontId="36" fillId="15" borderId="2" xfId="0" applyFont="1" applyFill="1" applyBorder="1" applyAlignment="1" applyProtection="1">
      <alignment vertical="center"/>
      <protection hidden="1"/>
    </xf>
    <xf numFmtId="44" fontId="0" fillId="0" borderId="0" xfId="0" applyNumberFormat="1"/>
    <xf numFmtId="0" fontId="4" fillId="0" borderId="0" xfId="0" applyFont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0" fillId="5" borderId="0" xfId="0" applyFill="1"/>
    <xf numFmtId="0" fontId="37" fillId="0" borderId="2" xfId="0" applyFont="1" applyBorder="1"/>
    <xf numFmtId="44" fontId="2" fillId="0" borderId="0" xfId="0" applyNumberFormat="1" applyFont="1" applyProtection="1">
      <protection hidden="1"/>
    </xf>
    <xf numFmtId="44" fontId="2" fillId="3" borderId="0" xfId="0" applyNumberFormat="1" applyFont="1" applyFill="1" applyProtection="1">
      <protection hidden="1"/>
    </xf>
    <xf numFmtId="0" fontId="4" fillId="2" borderId="1" xfId="0" applyFont="1" applyFill="1" applyBorder="1" applyAlignment="1" applyProtection="1">
      <alignment vertical="center"/>
      <protection hidden="1"/>
    </xf>
    <xf numFmtId="9" fontId="4" fillId="5" borderId="1" xfId="2" applyFont="1" applyFill="1" applyBorder="1" applyAlignment="1" applyProtection="1">
      <alignment horizontal="left" vertical="center"/>
      <protection hidden="1"/>
    </xf>
    <xf numFmtId="0" fontId="4" fillId="7" borderId="1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2" borderId="22" xfId="0" applyFont="1" applyFill="1" applyBorder="1" applyAlignment="1" applyProtection="1">
      <alignment vertical="center"/>
      <protection hidden="1"/>
    </xf>
    <xf numFmtId="0" fontId="0" fillId="2" borderId="3" xfId="0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2" borderId="4" xfId="0" applyFont="1" applyFill="1" applyBorder="1" applyAlignment="1" applyProtection="1">
      <alignment vertical="center"/>
      <protection hidden="1"/>
    </xf>
    <xf numFmtId="0" fontId="2" fillId="4" borderId="21" xfId="0" applyFont="1" applyFill="1" applyBorder="1" applyAlignment="1" applyProtection="1">
      <alignment vertical="center"/>
      <protection locked="0" hidden="1"/>
    </xf>
    <xf numFmtId="0" fontId="4" fillId="0" borderId="4" xfId="0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0" borderId="1" xfId="0" applyFont="1" applyFill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4" fillId="0" borderId="4" xfId="0" applyFont="1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2" fillId="5" borderId="1" xfId="0" applyFont="1" applyFill="1" applyBorder="1" applyAlignment="1" applyProtection="1">
      <alignment vertical="center"/>
      <protection hidden="1"/>
    </xf>
    <xf numFmtId="0" fontId="2" fillId="2" borderId="3" xfId="0" applyFont="1" applyFill="1" applyBorder="1" applyAlignment="1" applyProtection="1">
      <alignment vertical="center"/>
      <protection hidden="1"/>
    </xf>
    <xf numFmtId="44" fontId="2" fillId="2" borderId="1" xfId="1" applyFont="1" applyFill="1" applyBorder="1" applyAlignment="1" applyProtection="1">
      <alignment vertical="center"/>
      <protection hidden="1"/>
    </xf>
    <xf numFmtId="44" fontId="2" fillId="5" borderId="1" xfId="1" applyFont="1" applyFill="1" applyBorder="1" applyAlignment="1" applyProtection="1">
      <alignment vertical="center"/>
      <protection hidden="1"/>
    </xf>
    <xf numFmtId="44" fontId="4" fillId="7" borderId="1" xfId="1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locked="0" hidden="1"/>
    </xf>
    <xf numFmtId="0" fontId="2" fillId="4" borderId="21" xfId="0" applyFont="1" applyFill="1" applyBorder="1" applyAlignment="1" applyProtection="1">
      <alignment horizontal="center" vertical="center"/>
      <protection locked="0" hidden="1"/>
    </xf>
    <xf numFmtId="0" fontId="38" fillId="2" borderId="0" xfId="0" applyFont="1" applyFill="1" applyAlignment="1" applyProtection="1">
      <alignment horizontal="center" vertical="top"/>
      <protection hidden="1"/>
    </xf>
    <xf numFmtId="49" fontId="28" fillId="18" borderId="6" xfId="0" applyNumberFormat="1" applyFont="1" applyFill="1" applyBorder="1" applyAlignment="1" applyProtection="1">
      <alignment horizontal="right"/>
      <protection locked="0"/>
    </xf>
    <xf numFmtId="0" fontId="39" fillId="2" borderId="0" xfId="0" applyFont="1" applyFill="1" applyAlignment="1" applyProtection="1">
      <alignment horizontal="center"/>
      <protection hidden="1"/>
    </xf>
    <xf numFmtId="0" fontId="2" fillId="4" borderId="24" xfId="0" applyFont="1" applyFill="1" applyBorder="1" applyAlignment="1" applyProtection="1">
      <alignment horizontal="center" vertical="center" wrapText="1"/>
      <protection locked="0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44" fontId="13" fillId="9" borderId="5" xfId="1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  <xf numFmtId="0" fontId="12" fillId="9" borderId="5" xfId="0" applyFont="1" applyFill="1" applyBorder="1" applyAlignment="1">
      <alignment horizontal="left" vertical="center" wrapText="1"/>
    </xf>
    <xf numFmtId="44" fontId="13" fillId="9" borderId="5" xfId="1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30" fillId="13" borderId="18" xfId="0" applyFont="1" applyFill="1" applyBorder="1" applyAlignment="1" applyProtection="1">
      <alignment horizontal="left" vertical="center"/>
      <protection hidden="1"/>
    </xf>
    <xf numFmtId="0" fontId="30" fillId="13" borderId="19" xfId="0" applyFont="1" applyFill="1" applyBorder="1" applyAlignment="1" applyProtection="1">
      <alignment horizontal="left" vertical="center"/>
      <protection hidden="1"/>
    </xf>
    <xf numFmtId="0" fontId="30" fillId="13" borderId="20" xfId="0" applyFont="1" applyFill="1" applyBorder="1" applyAlignment="1" applyProtection="1">
      <alignment horizontal="left" vertical="center"/>
      <protection hidden="1"/>
    </xf>
    <xf numFmtId="0" fontId="30" fillId="11" borderId="18" xfId="0" applyFont="1" applyFill="1" applyBorder="1" applyAlignment="1" applyProtection="1">
      <alignment horizontal="left" vertical="center"/>
      <protection hidden="1"/>
    </xf>
    <xf numFmtId="0" fontId="30" fillId="11" borderId="19" xfId="0" applyFont="1" applyFill="1" applyBorder="1" applyAlignment="1" applyProtection="1">
      <alignment horizontal="left" vertical="center"/>
      <protection hidden="1"/>
    </xf>
    <xf numFmtId="0" fontId="30" fillId="11" borderId="20" xfId="0" applyFont="1" applyFill="1" applyBorder="1" applyAlignment="1" applyProtection="1">
      <alignment horizontal="left" vertical="center"/>
      <protection hidden="1"/>
    </xf>
    <xf numFmtId="0" fontId="32" fillId="18" borderId="18" xfId="3" applyFont="1" applyFill="1" applyBorder="1" applyAlignment="1" applyProtection="1">
      <alignment horizontal="left"/>
      <protection locked="0"/>
    </xf>
    <xf numFmtId="0" fontId="31" fillId="18" borderId="19" xfId="0" applyFont="1" applyFill="1" applyBorder="1" applyAlignment="1" applyProtection="1">
      <alignment horizontal="left"/>
      <protection locked="0"/>
    </xf>
    <xf numFmtId="0" fontId="31" fillId="18" borderId="20" xfId="0" applyFont="1" applyFill="1" applyBorder="1" applyAlignment="1" applyProtection="1">
      <alignment horizontal="left"/>
      <protection locked="0"/>
    </xf>
    <xf numFmtId="0" fontId="31" fillId="18" borderId="18" xfId="0" applyFont="1" applyFill="1" applyBorder="1" applyAlignment="1" applyProtection="1">
      <alignment horizontal="left"/>
      <protection locked="0"/>
    </xf>
    <xf numFmtId="0" fontId="24" fillId="2" borderId="0" xfId="0" applyFont="1" applyFill="1" applyBorder="1" applyAlignment="1" applyProtection="1">
      <alignment horizontal="left"/>
      <protection hidden="1"/>
    </xf>
    <xf numFmtId="0" fontId="31" fillId="18" borderId="15" xfId="0" applyFont="1" applyFill="1" applyBorder="1" applyAlignment="1" applyProtection="1">
      <alignment horizontal="left"/>
      <protection locked="0"/>
    </xf>
    <xf numFmtId="0" fontId="31" fillId="18" borderId="16" xfId="0" applyFont="1" applyFill="1" applyBorder="1" applyAlignment="1" applyProtection="1">
      <alignment horizontal="left"/>
      <protection locked="0"/>
    </xf>
    <xf numFmtId="0" fontId="31" fillId="18" borderId="17" xfId="0" applyFont="1" applyFill="1" applyBorder="1" applyAlignment="1" applyProtection="1">
      <alignment horizontal="left"/>
      <protection locked="0"/>
    </xf>
    <xf numFmtId="0" fontId="29" fillId="17" borderId="2" xfId="0" applyFont="1" applyFill="1" applyBorder="1" applyAlignment="1" applyProtection="1">
      <alignment horizontal="right" vertical="center"/>
      <protection hidden="1"/>
    </xf>
    <xf numFmtId="9" fontId="28" fillId="2" borderId="8" xfId="0" applyNumberFormat="1" applyFont="1" applyFill="1" applyBorder="1" applyAlignment="1" applyProtection="1">
      <alignment horizontal="right" vertical="center"/>
      <protection hidden="1"/>
    </xf>
    <xf numFmtId="9" fontId="28" fillId="2" borderId="9" xfId="0" applyNumberFormat="1" applyFont="1" applyFill="1" applyBorder="1" applyAlignment="1" applyProtection="1">
      <alignment horizontal="right" vertical="center"/>
      <protection hidden="1"/>
    </xf>
    <xf numFmtId="0" fontId="28" fillId="2" borderId="8" xfId="0" applyFont="1" applyFill="1" applyBorder="1" applyAlignment="1" applyProtection="1">
      <alignment horizontal="right" vertical="center"/>
      <protection hidden="1"/>
    </xf>
    <xf numFmtId="0" fontId="28" fillId="2" borderId="9" xfId="0" applyFont="1" applyFill="1" applyBorder="1" applyAlignment="1" applyProtection="1">
      <alignment horizontal="right" vertical="center"/>
      <protection hidden="1"/>
    </xf>
    <xf numFmtId="0" fontId="28" fillId="2" borderId="2" xfId="0" applyFont="1" applyFill="1" applyBorder="1" applyAlignment="1" applyProtection="1">
      <alignment horizontal="right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18" xfId="0" applyFill="1" applyBorder="1" applyAlignment="1" applyProtection="1">
      <alignment horizontal="center"/>
      <protection hidden="1"/>
    </xf>
    <xf numFmtId="0" fontId="0" fillId="2" borderId="19" xfId="0" applyFill="1" applyBorder="1" applyAlignment="1" applyProtection="1">
      <alignment horizontal="center"/>
      <protection hidden="1"/>
    </xf>
    <xf numFmtId="0" fontId="0" fillId="2" borderId="20" xfId="0" applyFill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2" fillId="16" borderId="2" xfId="0" applyFont="1" applyFill="1" applyBorder="1" applyAlignment="1" applyProtection="1">
      <alignment horizontal="center" vertical="center" wrapText="1"/>
      <protection hidden="1"/>
    </xf>
  </cellXfs>
  <cellStyles count="4">
    <cellStyle name="Collegamento ipertestuale" xfId="3" builtinId="8"/>
    <cellStyle name="Normale" xfId="0" builtinId="0"/>
    <cellStyle name="Percentuale" xfId="2" builtinId="5"/>
    <cellStyle name="Valuta" xfId="1" builtinId="4"/>
  </cellStyles>
  <dxfs count="162"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3.png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6.png"/><Relationship Id="rId16" Type="http://schemas.openxmlformats.org/officeDocument/2006/relationships/image" Target="../media/image16.png"/><Relationship Id="rId1" Type="http://schemas.openxmlformats.org/officeDocument/2006/relationships/image" Target="../media/image1.gif"/><Relationship Id="rId6" Type="http://schemas.openxmlformats.org/officeDocument/2006/relationships/image" Target="../media/image3.png"/><Relationship Id="rId11" Type="http://schemas.openxmlformats.org/officeDocument/2006/relationships/image" Target="../media/image11.png"/><Relationship Id="rId5" Type="http://schemas.openxmlformats.org/officeDocument/2006/relationships/image" Target="../media/image2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19.emf"/><Relationship Id="rId9" Type="http://schemas.openxmlformats.org/officeDocument/2006/relationships/image" Target="../media/image9.jpeg"/><Relationship Id="rId14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3.png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6.png"/><Relationship Id="rId16" Type="http://schemas.openxmlformats.org/officeDocument/2006/relationships/image" Target="../media/image16.png"/><Relationship Id="rId1" Type="http://schemas.openxmlformats.org/officeDocument/2006/relationships/image" Target="../media/image1.gif"/><Relationship Id="rId6" Type="http://schemas.openxmlformats.org/officeDocument/2006/relationships/image" Target="../media/image3.png"/><Relationship Id="rId11" Type="http://schemas.openxmlformats.org/officeDocument/2006/relationships/image" Target="../media/image11.png"/><Relationship Id="rId5" Type="http://schemas.openxmlformats.org/officeDocument/2006/relationships/image" Target="../media/image2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19.emf"/><Relationship Id="rId9" Type="http://schemas.openxmlformats.org/officeDocument/2006/relationships/image" Target="../media/image9.jpeg"/><Relationship Id="rId14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3792</xdr:colOff>
      <xdr:row>3</xdr:row>
      <xdr:rowOff>175582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60117" cy="74708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</xdr:row>
      <xdr:rowOff>152400</xdr:rowOff>
    </xdr:from>
    <xdr:to>
      <xdr:col>1</xdr:col>
      <xdr:colOff>269875</xdr:colOff>
      <xdr:row>17</xdr:row>
      <xdr:rowOff>84248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908300"/>
          <a:ext cx="565150" cy="51287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17</xdr:row>
      <xdr:rowOff>147009</xdr:rowOff>
    </xdr:from>
    <xdr:to>
      <xdr:col>1</xdr:col>
      <xdr:colOff>269875</xdr:colOff>
      <xdr:row>20</xdr:row>
      <xdr:rowOff>78856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455359"/>
          <a:ext cx="565150" cy="51287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20</xdr:row>
      <xdr:rowOff>141617</xdr:rowOff>
    </xdr:from>
    <xdr:to>
      <xdr:col>1</xdr:col>
      <xdr:colOff>231775</xdr:colOff>
      <xdr:row>23</xdr:row>
      <xdr:rowOff>25840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002417"/>
          <a:ext cx="527050" cy="47477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26</xdr:row>
      <xdr:rowOff>130834</xdr:rowOff>
    </xdr:from>
    <xdr:to>
      <xdr:col>1</xdr:col>
      <xdr:colOff>288925</xdr:colOff>
      <xdr:row>28</xdr:row>
      <xdr:rowOff>104169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39" b="15517"/>
        <a:stretch/>
      </xdr:blipFill>
      <xdr:spPr>
        <a:xfrm>
          <a:off x="28575" y="5096534"/>
          <a:ext cx="584200" cy="36068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30</xdr:row>
      <xdr:rowOff>0</xdr:rowOff>
    </xdr:from>
    <xdr:to>
      <xdr:col>1</xdr:col>
      <xdr:colOff>288925</xdr:colOff>
      <xdr:row>31</xdr:row>
      <xdr:rowOff>173360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39" b="15517"/>
        <a:stretch/>
      </xdr:blipFill>
      <xdr:spPr>
        <a:xfrm>
          <a:off x="28575" y="5683250"/>
          <a:ext cx="584200" cy="37021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32</xdr:row>
      <xdr:rowOff>177800</xdr:rowOff>
    </xdr:from>
    <xdr:to>
      <xdr:col>1</xdr:col>
      <xdr:colOff>288925</xdr:colOff>
      <xdr:row>34</xdr:row>
      <xdr:rowOff>157485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39" b="15517"/>
        <a:stretch/>
      </xdr:blipFill>
      <xdr:spPr>
        <a:xfrm>
          <a:off x="28575" y="6210300"/>
          <a:ext cx="584200" cy="37021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35</xdr:row>
      <xdr:rowOff>182293</xdr:rowOff>
    </xdr:from>
    <xdr:to>
      <xdr:col>1</xdr:col>
      <xdr:colOff>288925</xdr:colOff>
      <xdr:row>37</xdr:row>
      <xdr:rowOff>161978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39" b="15517"/>
        <a:stretch/>
      </xdr:blipFill>
      <xdr:spPr>
        <a:xfrm>
          <a:off x="28575" y="6748193"/>
          <a:ext cx="584200" cy="37021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2390236</xdr:colOff>
      <xdr:row>23</xdr:row>
      <xdr:rowOff>932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1352550"/>
          <a:ext cx="2390236" cy="3420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361950</xdr:colOff>
      <xdr:row>1</xdr:row>
      <xdr:rowOff>47625</xdr:rowOff>
    </xdr:from>
    <xdr:ext cx="1514475" cy="271043"/>
    <xdr:pic>
      <xdr:nvPicPr>
        <xdr:cNvPr id="18" name="Immagine 17" descr="Risultati immagini per logo dell emc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25" y="238125"/>
          <a:ext cx="1514475" cy="271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39</xdr:row>
          <xdr:rowOff>47626</xdr:rowOff>
        </xdr:from>
        <xdr:to>
          <xdr:col>7</xdr:col>
          <xdr:colOff>2390775</xdr:colOff>
          <xdr:row>56</xdr:row>
          <xdr:rowOff>152401</xdr:rowOff>
        </xdr:to>
        <xdr:pic>
          <xdr:nvPicPr>
            <xdr:cNvPr id="19" name="Immagine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TS3L1PSU12_1" spid="_x0000_s1416"/>
                </a:ext>
              </a:extLst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8734425" y="7820026"/>
              <a:ext cx="2371725" cy="3533775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 editAs="oneCell">
    <xdr:from>
      <xdr:col>0</xdr:col>
      <xdr:colOff>79375</xdr:colOff>
      <xdr:row>83</xdr:row>
      <xdr:rowOff>165100</xdr:rowOff>
    </xdr:from>
    <xdr:to>
      <xdr:col>1</xdr:col>
      <xdr:colOff>244475</xdr:colOff>
      <xdr:row>86</xdr:row>
      <xdr:rowOff>12700</xdr:rowOff>
    </xdr:to>
    <xdr:pic>
      <xdr:nvPicPr>
        <xdr:cNvPr id="20" name="Immagine 19" descr="Risultati immagini per warranty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655550"/>
          <a:ext cx="4889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73025</xdr:colOff>
      <xdr:row>47</xdr:row>
      <xdr:rowOff>174625</xdr:rowOff>
    </xdr:from>
    <xdr:to>
      <xdr:col>1</xdr:col>
      <xdr:colOff>266700</xdr:colOff>
      <xdr:row>50</xdr:row>
      <xdr:rowOff>58845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" y="8931275"/>
          <a:ext cx="517525" cy="474770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</xdr:colOff>
      <xdr:row>51</xdr:row>
      <xdr:rowOff>7308</xdr:rowOff>
    </xdr:from>
    <xdr:to>
      <xdr:col>1</xdr:col>
      <xdr:colOff>266700</xdr:colOff>
      <xdr:row>53</xdr:row>
      <xdr:rowOff>82029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" y="9481508"/>
          <a:ext cx="517525" cy="481121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</xdr:colOff>
      <xdr:row>54</xdr:row>
      <xdr:rowOff>30491</xdr:rowOff>
    </xdr:from>
    <xdr:to>
      <xdr:col>1</xdr:col>
      <xdr:colOff>266700</xdr:colOff>
      <xdr:row>56</xdr:row>
      <xdr:rowOff>105212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" y="10038091"/>
          <a:ext cx="517525" cy="481121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</xdr:colOff>
      <xdr:row>57</xdr:row>
      <xdr:rowOff>53675</xdr:rowOff>
    </xdr:from>
    <xdr:to>
      <xdr:col>1</xdr:col>
      <xdr:colOff>266700</xdr:colOff>
      <xdr:row>59</xdr:row>
      <xdr:rowOff>122046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" y="10594675"/>
          <a:ext cx="517525" cy="474771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</xdr:colOff>
      <xdr:row>93</xdr:row>
      <xdr:rowOff>136525</xdr:rowOff>
    </xdr:from>
    <xdr:to>
      <xdr:col>1</xdr:col>
      <xdr:colOff>238125</xdr:colOff>
      <xdr:row>95</xdr:row>
      <xdr:rowOff>193675</xdr:rowOff>
    </xdr:to>
    <xdr:pic>
      <xdr:nvPicPr>
        <xdr:cNvPr id="28" name="Immagine 27" descr="https://www.iconexperience.com/_img/v_collection_png/48x48/shadow/workplace2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" y="14424025"/>
          <a:ext cx="4889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98425</xdr:colOff>
      <xdr:row>90</xdr:row>
      <xdr:rowOff>174625</xdr:rowOff>
    </xdr:from>
    <xdr:to>
      <xdr:col>1</xdr:col>
      <xdr:colOff>187325</xdr:colOff>
      <xdr:row>92</xdr:row>
      <xdr:rowOff>155575</xdr:rowOff>
    </xdr:to>
    <xdr:pic>
      <xdr:nvPicPr>
        <xdr:cNvPr id="29" name="Immagine 28" descr="https://www.iconexperience.com/_img/v_collection_png/48x48/shadow/battery_add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" y="13922375"/>
          <a:ext cx="41275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79375</xdr:colOff>
      <xdr:row>86</xdr:row>
      <xdr:rowOff>107950</xdr:rowOff>
    </xdr:from>
    <xdr:to>
      <xdr:col>1</xdr:col>
      <xdr:colOff>244475</xdr:colOff>
      <xdr:row>88</xdr:row>
      <xdr:rowOff>165100</xdr:rowOff>
    </xdr:to>
    <xdr:pic>
      <xdr:nvPicPr>
        <xdr:cNvPr id="30" name="Immagine 29" descr="https://www.iconexperience.com/_img/v_collection_png/48x48/shadow/hard_drive_add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3131800"/>
          <a:ext cx="4889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80</xdr:row>
      <xdr:rowOff>60325</xdr:rowOff>
    </xdr:from>
    <xdr:to>
      <xdr:col>2</xdr:col>
      <xdr:colOff>3175</xdr:colOff>
      <xdr:row>83</xdr:row>
      <xdr:rowOff>60325</xdr:rowOff>
    </xdr:to>
    <xdr:pic>
      <xdr:nvPicPr>
        <xdr:cNvPr id="31" name="Immagine 30" descr="CD Drive icon PNG, ICO or ICNS | Free vector icons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017375"/>
          <a:ext cx="6127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68</xdr:row>
      <xdr:rowOff>177800</xdr:rowOff>
    </xdr:from>
    <xdr:to>
      <xdr:col>1</xdr:col>
      <xdr:colOff>131763</xdr:colOff>
      <xdr:row>77</xdr:row>
      <xdr:rowOff>55563</xdr:rowOff>
    </xdr:to>
    <xdr:pic>
      <xdr:nvPicPr>
        <xdr:cNvPr id="63" name="Immagine 62" descr="https://www.iconexperience.com/_img/v_collection_png/256x256/shadow/plug_lan.pn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1252200"/>
          <a:ext cx="277813" cy="284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93010</xdr:colOff>
      <xdr:row>60</xdr:row>
      <xdr:rowOff>30255</xdr:rowOff>
    </xdr:from>
    <xdr:to>
      <xdr:col>3</xdr:col>
      <xdr:colOff>642256</xdr:colOff>
      <xdr:row>62</xdr:row>
      <xdr:rowOff>77880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5550835" y="12258675"/>
          <a:ext cx="549246" cy="0"/>
          <a:chOff x="9417425" y="11970684"/>
          <a:chExt cx="549246" cy="410135"/>
        </a:xfrm>
      </xdr:grpSpPr>
      <xdr:pic>
        <xdr:nvPicPr>
          <xdr:cNvPr id="35" name="Immagin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17425" y="11970684"/>
            <a:ext cx="549246" cy="4101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 rot="2001427">
            <a:off x="9456737" y="11993424"/>
            <a:ext cx="383054" cy="2178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it-IT" sz="8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SFP+</a:t>
            </a:r>
          </a:p>
        </xdr:txBody>
      </xdr:sp>
    </xdr:grpSp>
    <xdr:clientData/>
  </xdr:twoCellAnchor>
  <xdr:twoCellAnchor>
    <xdr:from>
      <xdr:col>0</xdr:col>
      <xdr:colOff>51289</xdr:colOff>
      <xdr:row>39</xdr:row>
      <xdr:rowOff>21981</xdr:rowOff>
    </xdr:from>
    <xdr:to>
      <xdr:col>1</xdr:col>
      <xdr:colOff>244964</xdr:colOff>
      <xdr:row>41</xdr:row>
      <xdr:rowOff>19259</xdr:rowOff>
    </xdr:to>
    <xdr:pic>
      <xdr:nvPicPr>
        <xdr:cNvPr id="37" name="Immagine 36" descr="Power supply Icons - Iconshock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42" b="7892"/>
        <a:stretch/>
      </xdr:blipFill>
      <xdr:spPr bwMode="auto">
        <a:xfrm>
          <a:off x="51289" y="7773866"/>
          <a:ext cx="501406" cy="407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3792</xdr:colOff>
      <xdr:row>3</xdr:row>
      <xdr:rowOff>175582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60117" cy="74708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2390236</xdr:colOff>
      <xdr:row>23</xdr:row>
      <xdr:rowOff>932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1314450"/>
          <a:ext cx="2390236" cy="3420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361950</xdr:colOff>
      <xdr:row>1</xdr:row>
      <xdr:rowOff>47625</xdr:rowOff>
    </xdr:from>
    <xdr:ext cx="1514475" cy="271043"/>
    <xdr:pic>
      <xdr:nvPicPr>
        <xdr:cNvPr id="11" name="Immagine 10" descr="Risultati immagini per logo dell emc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38125"/>
          <a:ext cx="1514475" cy="271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39</xdr:row>
          <xdr:rowOff>38100</xdr:rowOff>
        </xdr:from>
        <xdr:to>
          <xdr:col>7</xdr:col>
          <xdr:colOff>2399761</xdr:colOff>
          <xdr:row>56</xdr:row>
          <xdr:rowOff>129266</xdr:rowOff>
        </xdr:to>
        <xdr:pic>
          <xdr:nvPicPr>
            <xdr:cNvPr id="12" name="Immagine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TS3L1PSU12_2" spid="_x0000_s2336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410700" y="7524750"/>
              <a:ext cx="2380711" cy="3520166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 editAs="oneCell">
    <xdr:from>
      <xdr:col>0</xdr:col>
      <xdr:colOff>31750</xdr:colOff>
      <xdr:row>14</xdr:row>
      <xdr:rowOff>152400</xdr:rowOff>
    </xdr:from>
    <xdr:to>
      <xdr:col>1</xdr:col>
      <xdr:colOff>273050</xdr:colOff>
      <xdr:row>17</xdr:row>
      <xdr:rowOff>84248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2908300"/>
          <a:ext cx="565150" cy="512873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17</xdr:row>
      <xdr:rowOff>147009</xdr:rowOff>
    </xdr:from>
    <xdr:to>
      <xdr:col>1</xdr:col>
      <xdr:colOff>273050</xdr:colOff>
      <xdr:row>20</xdr:row>
      <xdr:rowOff>78856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455359"/>
          <a:ext cx="565150" cy="51287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20</xdr:row>
      <xdr:rowOff>141617</xdr:rowOff>
    </xdr:from>
    <xdr:to>
      <xdr:col>1</xdr:col>
      <xdr:colOff>234950</xdr:colOff>
      <xdr:row>23</xdr:row>
      <xdr:rowOff>25840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4002417"/>
          <a:ext cx="527050" cy="474773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26</xdr:row>
      <xdr:rowOff>130834</xdr:rowOff>
    </xdr:from>
    <xdr:to>
      <xdr:col>1</xdr:col>
      <xdr:colOff>292100</xdr:colOff>
      <xdr:row>28</xdr:row>
      <xdr:rowOff>113694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39" b="15517"/>
        <a:stretch/>
      </xdr:blipFill>
      <xdr:spPr>
        <a:xfrm>
          <a:off x="31750" y="5096534"/>
          <a:ext cx="584200" cy="36068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30</xdr:row>
      <xdr:rowOff>0</xdr:rowOff>
    </xdr:from>
    <xdr:to>
      <xdr:col>1</xdr:col>
      <xdr:colOff>292100</xdr:colOff>
      <xdr:row>31</xdr:row>
      <xdr:rowOff>173360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39" b="15517"/>
        <a:stretch/>
      </xdr:blipFill>
      <xdr:spPr>
        <a:xfrm>
          <a:off x="31750" y="5683250"/>
          <a:ext cx="584200" cy="37021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32</xdr:row>
      <xdr:rowOff>177800</xdr:rowOff>
    </xdr:from>
    <xdr:to>
      <xdr:col>1</xdr:col>
      <xdr:colOff>292100</xdr:colOff>
      <xdr:row>34</xdr:row>
      <xdr:rowOff>157485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39" b="15517"/>
        <a:stretch/>
      </xdr:blipFill>
      <xdr:spPr>
        <a:xfrm>
          <a:off x="31750" y="6210300"/>
          <a:ext cx="584200" cy="37021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35</xdr:row>
      <xdr:rowOff>182293</xdr:rowOff>
    </xdr:from>
    <xdr:to>
      <xdr:col>1</xdr:col>
      <xdr:colOff>292100</xdr:colOff>
      <xdr:row>37</xdr:row>
      <xdr:rowOff>161978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39" b="15517"/>
        <a:stretch/>
      </xdr:blipFill>
      <xdr:spPr>
        <a:xfrm>
          <a:off x="31750" y="6748193"/>
          <a:ext cx="584200" cy="37021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83</xdr:row>
      <xdr:rowOff>165100</xdr:rowOff>
    </xdr:from>
    <xdr:to>
      <xdr:col>1</xdr:col>
      <xdr:colOff>247650</xdr:colOff>
      <xdr:row>86</xdr:row>
      <xdr:rowOff>12700</xdr:rowOff>
    </xdr:to>
    <xdr:pic>
      <xdr:nvPicPr>
        <xdr:cNvPr id="105" name="Immagine 104" descr="Risultati immagini per warranty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12655550"/>
          <a:ext cx="4889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47</xdr:row>
      <xdr:rowOff>174625</xdr:rowOff>
    </xdr:from>
    <xdr:to>
      <xdr:col>1</xdr:col>
      <xdr:colOff>269875</xdr:colOff>
      <xdr:row>50</xdr:row>
      <xdr:rowOff>58845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931275"/>
          <a:ext cx="517525" cy="47477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51</xdr:row>
      <xdr:rowOff>7308</xdr:rowOff>
    </xdr:from>
    <xdr:to>
      <xdr:col>1</xdr:col>
      <xdr:colOff>269875</xdr:colOff>
      <xdr:row>53</xdr:row>
      <xdr:rowOff>82029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481508"/>
          <a:ext cx="517525" cy="4811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54</xdr:row>
      <xdr:rowOff>30491</xdr:rowOff>
    </xdr:from>
    <xdr:to>
      <xdr:col>1</xdr:col>
      <xdr:colOff>269875</xdr:colOff>
      <xdr:row>56</xdr:row>
      <xdr:rowOff>105212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038091"/>
          <a:ext cx="517525" cy="4811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57</xdr:row>
      <xdr:rowOff>53675</xdr:rowOff>
    </xdr:from>
    <xdr:to>
      <xdr:col>1</xdr:col>
      <xdr:colOff>269875</xdr:colOff>
      <xdr:row>59</xdr:row>
      <xdr:rowOff>122046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594675"/>
          <a:ext cx="517525" cy="47477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93</xdr:row>
      <xdr:rowOff>136525</xdr:rowOff>
    </xdr:from>
    <xdr:to>
      <xdr:col>1</xdr:col>
      <xdr:colOff>241300</xdr:colOff>
      <xdr:row>95</xdr:row>
      <xdr:rowOff>193675</xdr:rowOff>
    </xdr:to>
    <xdr:pic>
      <xdr:nvPicPr>
        <xdr:cNvPr id="110" name="Immagine 109" descr="https://www.iconexperience.com/_img/v_collection_png/48x48/shadow/workplace2.png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424025"/>
          <a:ext cx="4889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90</xdr:row>
      <xdr:rowOff>174625</xdr:rowOff>
    </xdr:from>
    <xdr:to>
      <xdr:col>1</xdr:col>
      <xdr:colOff>190500</xdr:colOff>
      <xdr:row>92</xdr:row>
      <xdr:rowOff>155575</xdr:rowOff>
    </xdr:to>
    <xdr:pic>
      <xdr:nvPicPr>
        <xdr:cNvPr id="111" name="Immagine 110" descr="https://www.iconexperience.com/_img/v_collection_png/48x48/shadow/battery_add.png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3922375"/>
          <a:ext cx="41275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82550</xdr:colOff>
      <xdr:row>86</xdr:row>
      <xdr:rowOff>107950</xdr:rowOff>
    </xdr:from>
    <xdr:to>
      <xdr:col>1</xdr:col>
      <xdr:colOff>247650</xdr:colOff>
      <xdr:row>88</xdr:row>
      <xdr:rowOff>165100</xdr:rowOff>
    </xdr:to>
    <xdr:pic>
      <xdr:nvPicPr>
        <xdr:cNvPr id="112" name="Immagine 111" descr="https://www.iconexperience.com/_img/v_collection_png/48x48/shadow/hard_drive_add.png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13131800"/>
          <a:ext cx="4889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80</xdr:row>
      <xdr:rowOff>60325</xdr:rowOff>
    </xdr:from>
    <xdr:to>
      <xdr:col>1</xdr:col>
      <xdr:colOff>301625</xdr:colOff>
      <xdr:row>83</xdr:row>
      <xdr:rowOff>31750</xdr:rowOff>
    </xdr:to>
    <xdr:pic>
      <xdr:nvPicPr>
        <xdr:cNvPr id="113" name="Immagine 112" descr="CD Drive icon PNG, ICO or ICNS | Free vector icons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2017375"/>
          <a:ext cx="6127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68</xdr:row>
      <xdr:rowOff>177800</xdr:rowOff>
    </xdr:from>
    <xdr:to>
      <xdr:col>1</xdr:col>
      <xdr:colOff>134938</xdr:colOff>
      <xdr:row>70</xdr:row>
      <xdr:rowOff>55563</xdr:rowOff>
    </xdr:to>
    <xdr:pic>
      <xdr:nvPicPr>
        <xdr:cNvPr id="115" name="Immagine 114" descr="https://www.iconexperience.com/_img/v_collection_png/256x256/shadow/plug_lan.png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252200"/>
          <a:ext cx="277813" cy="284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93010</xdr:colOff>
      <xdr:row>60</xdr:row>
      <xdr:rowOff>30255</xdr:rowOff>
    </xdr:from>
    <xdr:to>
      <xdr:col>3</xdr:col>
      <xdr:colOff>642256</xdr:colOff>
      <xdr:row>62</xdr:row>
      <xdr:rowOff>77880</xdr:rowOff>
    </xdr:to>
    <xdr:grpSp>
      <xdr:nvGrpSpPr>
        <xdr:cNvPr id="34" name="Gruppo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pSpPr/>
      </xdr:nvGrpSpPr>
      <xdr:grpSpPr>
        <a:xfrm>
          <a:off x="5550835" y="12268200"/>
          <a:ext cx="549246" cy="0"/>
          <a:chOff x="9417425" y="11970684"/>
          <a:chExt cx="549246" cy="410135"/>
        </a:xfrm>
      </xdr:grpSpPr>
      <xdr:pic>
        <xdr:nvPicPr>
          <xdr:cNvPr id="35" name="Immagine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17425" y="11970684"/>
            <a:ext cx="549246" cy="4101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6" name="Rettangolo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 rot="2001427">
            <a:off x="9456737" y="11993424"/>
            <a:ext cx="383054" cy="2178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it-IT" sz="8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SFP+</a:t>
            </a:r>
          </a:p>
        </xdr:txBody>
      </xdr:sp>
    </xdr:grpSp>
    <xdr:clientData/>
  </xdr:twoCellAnchor>
  <xdr:twoCellAnchor>
    <xdr:from>
      <xdr:col>0</xdr:col>
      <xdr:colOff>66675</xdr:colOff>
      <xdr:row>39</xdr:row>
      <xdr:rowOff>28575</xdr:rowOff>
    </xdr:from>
    <xdr:to>
      <xdr:col>1</xdr:col>
      <xdr:colOff>263281</xdr:colOff>
      <xdr:row>41</xdr:row>
      <xdr:rowOff>26585</xdr:rowOff>
    </xdr:to>
    <xdr:pic>
      <xdr:nvPicPr>
        <xdr:cNvPr id="38" name="Immagine 37" descr="Power supply Icons - Iconshock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42" b="7892"/>
        <a:stretch/>
      </xdr:blipFill>
      <xdr:spPr bwMode="auto">
        <a:xfrm>
          <a:off x="66675" y="7791450"/>
          <a:ext cx="501406" cy="407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93010</xdr:colOff>
      <xdr:row>60</xdr:row>
      <xdr:rowOff>0</xdr:rowOff>
    </xdr:from>
    <xdr:to>
      <xdr:col>3</xdr:col>
      <xdr:colOff>642256</xdr:colOff>
      <xdr:row>60</xdr:row>
      <xdr:rowOff>0</xdr:rowOff>
    </xdr:to>
    <xdr:grpSp>
      <xdr:nvGrpSpPr>
        <xdr:cNvPr id="37" name="Gruppo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pSpPr/>
      </xdr:nvGrpSpPr>
      <xdr:grpSpPr>
        <a:xfrm>
          <a:off x="5550835" y="12268200"/>
          <a:ext cx="549246" cy="0"/>
          <a:chOff x="9417425" y="11970684"/>
          <a:chExt cx="549246" cy="410135"/>
        </a:xfrm>
      </xdr:grpSpPr>
      <xdr:pic>
        <xdr:nvPicPr>
          <xdr:cNvPr id="39" name="Immagine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17425" y="11970684"/>
            <a:ext cx="549246" cy="4101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0" name="Rettangolo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>
          <a:xfrm rot="2001427">
            <a:off x="9456737" y="11993424"/>
            <a:ext cx="383054" cy="2178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it-IT" sz="8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SFP+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3792</xdr:colOff>
      <xdr:row>3</xdr:row>
      <xdr:rowOff>175582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60117" cy="74708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2390236</xdr:colOff>
      <xdr:row>23</xdr:row>
      <xdr:rowOff>932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1314450"/>
          <a:ext cx="2390236" cy="3420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361950</xdr:colOff>
      <xdr:row>1</xdr:row>
      <xdr:rowOff>47625</xdr:rowOff>
    </xdr:from>
    <xdr:ext cx="1514475" cy="271043"/>
    <xdr:pic>
      <xdr:nvPicPr>
        <xdr:cNvPr id="11" name="Immagine 10" descr="Risultati immagini per logo dell emc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38125"/>
          <a:ext cx="1514475" cy="271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39</xdr:row>
          <xdr:rowOff>38100</xdr:rowOff>
        </xdr:from>
        <xdr:to>
          <xdr:col>7</xdr:col>
          <xdr:colOff>2399761</xdr:colOff>
          <xdr:row>56</xdr:row>
          <xdr:rowOff>129266</xdr:rowOff>
        </xdr:to>
        <xdr:pic>
          <xdr:nvPicPr>
            <xdr:cNvPr id="12" name="Immagine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TS3L1PSU12_3" spid="_x0000_s3354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410700" y="7524750"/>
              <a:ext cx="2380711" cy="3520166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 editAs="oneCell">
    <xdr:from>
      <xdr:col>0</xdr:col>
      <xdr:colOff>31750</xdr:colOff>
      <xdr:row>14</xdr:row>
      <xdr:rowOff>152400</xdr:rowOff>
    </xdr:from>
    <xdr:to>
      <xdr:col>1</xdr:col>
      <xdr:colOff>273050</xdr:colOff>
      <xdr:row>17</xdr:row>
      <xdr:rowOff>84248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2908300"/>
          <a:ext cx="565150" cy="512873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17</xdr:row>
      <xdr:rowOff>147009</xdr:rowOff>
    </xdr:from>
    <xdr:to>
      <xdr:col>1</xdr:col>
      <xdr:colOff>273050</xdr:colOff>
      <xdr:row>20</xdr:row>
      <xdr:rowOff>78856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455359"/>
          <a:ext cx="565150" cy="51287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20</xdr:row>
      <xdr:rowOff>141617</xdr:rowOff>
    </xdr:from>
    <xdr:to>
      <xdr:col>1</xdr:col>
      <xdr:colOff>234950</xdr:colOff>
      <xdr:row>23</xdr:row>
      <xdr:rowOff>25840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4002417"/>
          <a:ext cx="527050" cy="474773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26</xdr:row>
      <xdr:rowOff>130834</xdr:rowOff>
    </xdr:from>
    <xdr:to>
      <xdr:col>1</xdr:col>
      <xdr:colOff>292100</xdr:colOff>
      <xdr:row>28</xdr:row>
      <xdr:rowOff>113694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39" b="15517"/>
        <a:stretch/>
      </xdr:blipFill>
      <xdr:spPr>
        <a:xfrm>
          <a:off x="31750" y="5096534"/>
          <a:ext cx="584200" cy="36068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30</xdr:row>
      <xdr:rowOff>0</xdr:rowOff>
    </xdr:from>
    <xdr:to>
      <xdr:col>1</xdr:col>
      <xdr:colOff>292100</xdr:colOff>
      <xdr:row>31</xdr:row>
      <xdr:rowOff>173360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39" b="15517"/>
        <a:stretch/>
      </xdr:blipFill>
      <xdr:spPr>
        <a:xfrm>
          <a:off x="31750" y="5683250"/>
          <a:ext cx="584200" cy="37021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32</xdr:row>
      <xdr:rowOff>177800</xdr:rowOff>
    </xdr:from>
    <xdr:to>
      <xdr:col>1</xdr:col>
      <xdr:colOff>292100</xdr:colOff>
      <xdr:row>34</xdr:row>
      <xdr:rowOff>157485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39" b="15517"/>
        <a:stretch/>
      </xdr:blipFill>
      <xdr:spPr>
        <a:xfrm>
          <a:off x="31750" y="6210300"/>
          <a:ext cx="584200" cy="37021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35</xdr:row>
      <xdr:rowOff>182293</xdr:rowOff>
    </xdr:from>
    <xdr:to>
      <xdr:col>1</xdr:col>
      <xdr:colOff>292100</xdr:colOff>
      <xdr:row>37</xdr:row>
      <xdr:rowOff>161978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39" b="15517"/>
        <a:stretch/>
      </xdr:blipFill>
      <xdr:spPr>
        <a:xfrm>
          <a:off x="31750" y="6748193"/>
          <a:ext cx="584200" cy="37021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83</xdr:row>
      <xdr:rowOff>165100</xdr:rowOff>
    </xdr:from>
    <xdr:to>
      <xdr:col>1</xdr:col>
      <xdr:colOff>247650</xdr:colOff>
      <xdr:row>86</xdr:row>
      <xdr:rowOff>12700</xdr:rowOff>
    </xdr:to>
    <xdr:pic>
      <xdr:nvPicPr>
        <xdr:cNvPr id="51" name="Immagine 50" descr="Risultati immagini per warranty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12655550"/>
          <a:ext cx="4889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47</xdr:row>
      <xdr:rowOff>174625</xdr:rowOff>
    </xdr:from>
    <xdr:to>
      <xdr:col>1</xdr:col>
      <xdr:colOff>269875</xdr:colOff>
      <xdr:row>50</xdr:row>
      <xdr:rowOff>58845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931275"/>
          <a:ext cx="517525" cy="47477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51</xdr:row>
      <xdr:rowOff>7308</xdr:rowOff>
    </xdr:from>
    <xdr:to>
      <xdr:col>1</xdr:col>
      <xdr:colOff>269875</xdr:colOff>
      <xdr:row>53</xdr:row>
      <xdr:rowOff>82029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481508"/>
          <a:ext cx="517525" cy="4811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54</xdr:row>
      <xdr:rowOff>30491</xdr:rowOff>
    </xdr:from>
    <xdr:to>
      <xdr:col>1</xdr:col>
      <xdr:colOff>269875</xdr:colOff>
      <xdr:row>56</xdr:row>
      <xdr:rowOff>105212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038091"/>
          <a:ext cx="517525" cy="4811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57</xdr:row>
      <xdr:rowOff>53675</xdr:rowOff>
    </xdr:from>
    <xdr:to>
      <xdr:col>1</xdr:col>
      <xdr:colOff>269875</xdr:colOff>
      <xdr:row>59</xdr:row>
      <xdr:rowOff>122046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594675"/>
          <a:ext cx="517525" cy="47477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93</xdr:row>
      <xdr:rowOff>136525</xdr:rowOff>
    </xdr:from>
    <xdr:to>
      <xdr:col>1</xdr:col>
      <xdr:colOff>241300</xdr:colOff>
      <xdr:row>95</xdr:row>
      <xdr:rowOff>193675</xdr:rowOff>
    </xdr:to>
    <xdr:pic>
      <xdr:nvPicPr>
        <xdr:cNvPr id="56" name="Immagine 55" descr="https://www.iconexperience.com/_img/v_collection_png/48x48/shadow/workplace2.png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424025"/>
          <a:ext cx="4889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90</xdr:row>
      <xdr:rowOff>174625</xdr:rowOff>
    </xdr:from>
    <xdr:to>
      <xdr:col>1</xdr:col>
      <xdr:colOff>190500</xdr:colOff>
      <xdr:row>92</xdr:row>
      <xdr:rowOff>155575</xdr:rowOff>
    </xdr:to>
    <xdr:pic>
      <xdr:nvPicPr>
        <xdr:cNvPr id="57" name="Immagine 56" descr="https://www.iconexperience.com/_img/v_collection_png/48x48/shadow/battery_add.png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3922375"/>
          <a:ext cx="41275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82550</xdr:colOff>
      <xdr:row>86</xdr:row>
      <xdr:rowOff>107950</xdr:rowOff>
    </xdr:from>
    <xdr:to>
      <xdr:col>1</xdr:col>
      <xdr:colOff>247650</xdr:colOff>
      <xdr:row>88</xdr:row>
      <xdr:rowOff>165100</xdr:rowOff>
    </xdr:to>
    <xdr:pic>
      <xdr:nvPicPr>
        <xdr:cNvPr id="58" name="Immagine 57" descr="https://www.iconexperience.com/_img/v_collection_png/48x48/shadow/hard_drive_add.png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13131800"/>
          <a:ext cx="48895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80</xdr:row>
      <xdr:rowOff>60325</xdr:rowOff>
    </xdr:from>
    <xdr:to>
      <xdr:col>1</xdr:col>
      <xdr:colOff>301625</xdr:colOff>
      <xdr:row>83</xdr:row>
      <xdr:rowOff>31750</xdr:rowOff>
    </xdr:to>
    <xdr:pic>
      <xdr:nvPicPr>
        <xdr:cNvPr id="59" name="Immagine 58" descr="CD Drive icon PNG, ICO or ICNS | Free vector icons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2017375"/>
          <a:ext cx="6127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68</xdr:row>
      <xdr:rowOff>177800</xdr:rowOff>
    </xdr:from>
    <xdr:to>
      <xdr:col>1</xdr:col>
      <xdr:colOff>134938</xdr:colOff>
      <xdr:row>70</xdr:row>
      <xdr:rowOff>55563</xdr:rowOff>
    </xdr:to>
    <xdr:pic>
      <xdr:nvPicPr>
        <xdr:cNvPr id="61" name="Immagine 60" descr="https://www.iconexperience.com/_img/v_collection_png/256x256/shadow/plug_lan.png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252200"/>
          <a:ext cx="277813" cy="284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93010</xdr:colOff>
      <xdr:row>60</xdr:row>
      <xdr:rowOff>30255</xdr:rowOff>
    </xdr:from>
    <xdr:to>
      <xdr:col>3</xdr:col>
      <xdr:colOff>642256</xdr:colOff>
      <xdr:row>62</xdr:row>
      <xdr:rowOff>77880</xdr:rowOff>
    </xdr:to>
    <xdr:grpSp>
      <xdr:nvGrpSpPr>
        <xdr:cNvPr id="34" name="Gruppo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pSpPr/>
      </xdr:nvGrpSpPr>
      <xdr:grpSpPr>
        <a:xfrm>
          <a:off x="5550835" y="12268200"/>
          <a:ext cx="549246" cy="0"/>
          <a:chOff x="9417425" y="11970684"/>
          <a:chExt cx="549246" cy="410135"/>
        </a:xfrm>
      </xdr:grpSpPr>
      <xdr:pic>
        <xdr:nvPicPr>
          <xdr:cNvPr id="35" name="Immagine 34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17425" y="11970684"/>
            <a:ext cx="549246" cy="4101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6" name="Rettangolo 35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/>
        </xdr:nvSpPr>
        <xdr:spPr>
          <a:xfrm rot="2001427">
            <a:off x="9456737" y="11993424"/>
            <a:ext cx="383054" cy="2178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it-IT" sz="8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SFP+</a:t>
            </a:r>
          </a:p>
        </xdr:txBody>
      </xdr:sp>
    </xdr:grpSp>
    <xdr:clientData/>
  </xdr:twoCellAnchor>
  <xdr:twoCellAnchor>
    <xdr:from>
      <xdr:col>0</xdr:col>
      <xdr:colOff>66675</xdr:colOff>
      <xdr:row>39</xdr:row>
      <xdr:rowOff>28575</xdr:rowOff>
    </xdr:from>
    <xdr:to>
      <xdr:col>1</xdr:col>
      <xdr:colOff>263281</xdr:colOff>
      <xdr:row>41</xdr:row>
      <xdr:rowOff>26585</xdr:rowOff>
    </xdr:to>
    <xdr:pic>
      <xdr:nvPicPr>
        <xdr:cNvPr id="38" name="Immagine 37" descr="Power supply Icons - Iconshock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42" b="7892"/>
        <a:stretch/>
      </xdr:blipFill>
      <xdr:spPr bwMode="auto">
        <a:xfrm>
          <a:off x="66675" y="7791450"/>
          <a:ext cx="501406" cy="407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93010</xdr:colOff>
      <xdr:row>60</xdr:row>
      <xdr:rowOff>0</xdr:rowOff>
    </xdr:from>
    <xdr:to>
      <xdr:col>3</xdr:col>
      <xdr:colOff>642256</xdr:colOff>
      <xdr:row>60</xdr:row>
      <xdr:rowOff>0</xdr:rowOff>
    </xdr:to>
    <xdr:grpSp>
      <xdr:nvGrpSpPr>
        <xdr:cNvPr id="37" name="Gruppo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pSpPr/>
      </xdr:nvGrpSpPr>
      <xdr:grpSpPr>
        <a:xfrm>
          <a:off x="5550835" y="12268200"/>
          <a:ext cx="549246" cy="0"/>
          <a:chOff x="9417425" y="11970684"/>
          <a:chExt cx="549246" cy="410135"/>
        </a:xfrm>
      </xdr:grpSpPr>
      <xdr:pic>
        <xdr:nvPicPr>
          <xdr:cNvPr id="39" name="Immagine 38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17425" y="11970684"/>
            <a:ext cx="549246" cy="4101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0" name="Rettangolo 39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/>
        </xdr:nvSpPr>
        <xdr:spPr>
          <a:xfrm rot="2001427">
            <a:off x="9456737" y="11993424"/>
            <a:ext cx="383054" cy="2178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it-IT" sz="8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SFP+</a:t>
            </a:r>
          </a:p>
        </xdr:txBody>
      </xdr:sp>
    </xdr:grpSp>
    <xdr:clientData/>
  </xdr:twoCellAnchor>
  <xdr:twoCellAnchor>
    <xdr:from>
      <xdr:col>3</xdr:col>
      <xdr:colOff>93010</xdr:colOff>
      <xdr:row>60</xdr:row>
      <xdr:rowOff>0</xdr:rowOff>
    </xdr:from>
    <xdr:to>
      <xdr:col>3</xdr:col>
      <xdr:colOff>642256</xdr:colOff>
      <xdr:row>60</xdr:row>
      <xdr:rowOff>0</xdr:rowOff>
    </xdr:to>
    <xdr:grpSp>
      <xdr:nvGrpSpPr>
        <xdr:cNvPr id="41" name="Gruppo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GrpSpPr/>
      </xdr:nvGrpSpPr>
      <xdr:grpSpPr>
        <a:xfrm>
          <a:off x="5550835" y="12268200"/>
          <a:ext cx="549246" cy="0"/>
          <a:chOff x="9417425" y="11970684"/>
          <a:chExt cx="549246" cy="410135"/>
        </a:xfrm>
      </xdr:grpSpPr>
      <xdr:pic>
        <xdr:nvPicPr>
          <xdr:cNvPr id="42" name="Immagine 41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17425" y="11970684"/>
            <a:ext cx="549246" cy="4101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Rettangolo 42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/>
        </xdr:nvSpPr>
        <xdr:spPr>
          <a:xfrm rot="2001427">
            <a:off x="9456737" y="11993424"/>
            <a:ext cx="383054" cy="21785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it-IT" sz="8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SFP+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</xdr:row>
      <xdr:rowOff>0</xdr:rowOff>
    </xdr:from>
    <xdr:to>
      <xdr:col>2</xdr:col>
      <xdr:colOff>9525</xdr:colOff>
      <xdr:row>108</xdr:row>
      <xdr:rowOff>3524250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7526000"/>
          <a:ext cx="2381250" cy="352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2</xdr:col>
      <xdr:colOff>8986</xdr:colOff>
      <xdr:row>109</xdr:row>
      <xdr:rowOff>3520166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2850" y="21069300"/>
          <a:ext cx="2380711" cy="35201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3</xdr:row>
      <xdr:rowOff>38100</xdr:rowOff>
    </xdr:from>
    <xdr:to>
      <xdr:col>6</xdr:col>
      <xdr:colOff>1132417</xdr:colOff>
      <xdr:row>3</xdr:row>
      <xdr:rowOff>291122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514350"/>
          <a:ext cx="2084917" cy="25302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</xdr:row>
          <xdr:rowOff>76200</xdr:rowOff>
        </xdr:from>
        <xdr:to>
          <xdr:col>6</xdr:col>
          <xdr:colOff>1495425</xdr:colOff>
          <xdr:row>6</xdr:row>
          <xdr:rowOff>76200</xdr:rowOff>
        </xdr:to>
        <xdr:sp macro="" textlink="">
          <xdr:nvSpPr>
            <xdr:cNvPr id="4100" name="SalvaPDF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5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4.emf"/><Relationship Id="rId4" Type="http://schemas.openxmlformats.org/officeDocument/2006/relationships/control" Target="../activeX/activeX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8" tint="-0.249977111117893"/>
  </sheetPr>
  <dimension ref="A1:Q97"/>
  <sheetViews>
    <sheetView tabSelected="1" zoomScaleNormal="100" workbookViewId="0">
      <pane ySplit="5" topLeftCell="A12" activePane="bottomLeft" state="frozen"/>
      <selection pane="bottomLeft" activeCell="H27" sqref="H27:H38"/>
    </sheetView>
  </sheetViews>
  <sheetFormatPr defaultColWidth="0" defaultRowHeight="15" zeroHeight="1" x14ac:dyDescent="0.25"/>
  <cols>
    <col min="1" max="2" width="4.5703125" style="87" customWidth="1"/>
    <col min="3" max="3" width="72.7109375" style="183" customWidth="1"/>
    <col min="4" max="4" width="10.7109375" style="87" customWidth="1"/>
    <col min="5" max="5" width="17.42578125" style="177" customWidth="1"/>
    <col min="6" max="6" width="17.140625" style="177" customWidth="1"/>
    <col min="7" max="7" width="3.5703125" style="134" customWidth="1"/>
    <col min="8" max="8" width="36" style="134" customWidth="1"/>
    <col min="9" max="9" width="0.42578125" style="129" customWidth="1"/>
    <col min="10" max="10" width="14" style="141" hidden="1" customWidth="1"/>
    <col min="11" max="11" width="9.85546875" style="134" hidden="1" customWidth="1"/>
    <col min="12" max="12" width="9.140625" style="134" hidden="1" customWidth="1"/>
    <col min="13" max="16384" width="9.140625" style="87" hidden="1"/>
  </cols>
  <sheetData>
    <row r="1" spans="1:12" x14ac:dyDescent="0.25">
      <c r="A1" s="64"/>
      <c r="B1" s="64"/>
      <c r="C1" s="181"/>
      <c r="D1" s="64"/>
      <c r="E1" s="172" t="s">
        <v>198</v>
      </c>
      <c r="F1" s="196">
        <f>SUM(J8:J96)*F5</f>
        <v>2294</v>
      </c>
      <c r="G1" s="128"/>
      <c r="H1" s="129"/>
      <c r="J1" s="130"/>
      <c r="K1" s="129"/>
      <c r="L1" s="129"/>
    </row>
    <row r="2" spans="1:12" x14ac:dyDescent="0.25">
      <c r="A2" s="64"/>
      <c r="B2" s="64"/>
      <c r="C2" s="181"/>
      <c r="D2" s="64"/>
      <c r="E2" s="173">
        <v>0.2</v>
      </c>
      <c r="F2" s="197">
        <f>SUM(K8:K96)*F5</f>
        <v>239</v>
      </c>
      <c r="G2" s="128"/>
      <c r="H2" s="129"/>
      <c r="J2" s="130"/>
      <c r="K2" s="129"/>
      <c r="L2" s="129"/>
    </row>
    <row r="3" spans="1:12" x14ac:dyDescent="0.25">
      <c r="A3" s="64"/>
      <c r="B3" s="64"/>
      <c r="C3" s="181"/>
      <c r="D3" s="64"/>
      <c r="E3" s="174" t="s">
        <v>199</v>
      </c>
      <c r="F3" s="198">
        <f>SUM(F1:F2)</f>
        <v>2533</v>
      </c>
      <c r="G3" s="128"/>
      <c r="H3" s="129"/>
      <c r="J3" s="130"/>
      <c r="K3" s="129"/>
      <c r="L3" s="129"/>
    </row>
    <row r="4" spans="1:12" ht="15.75" thickBot="1" x14ac:dyDescent="0.3">
      <c r="A4" s="64"/>
      <c r="B4" s="64"/>
      <c r="C4" s="181"/>
      <c r="D4" s="64"/>
      <c r="E4" s="175"/>
      <c r="F4" s="175"/>
      <c r="G4" s="128"/>
      <c r="H4" s="129"/>
      <c r="J4" s="130"/>
      <c r="K4" s="129"/>
      <c r="L4" s="129"/>
    </row>
    <row r="5" spans="1:12" ht="31.5" thickTop="1" thickBot="1" x14ac:dyDescent="0.3">
      <c r="A5" s="64"/>
      <c r="B5" s="64"/>
      <c r="C5" s="182" t="s">
        <v>399</v>
      </c>
      <c r="D5" s="202" t="str">
        <f>HYPERLINK("https://convenzioni.converge.it/docs/L1GuidaAllaConvenzioneTecnologieServer3.pdf","&amp;")</f>
        <v>&amp;</v>
      </c>
      <c r="E5" s="156" t="s">
        <v>200</v>
      </c>
      <c r="F5" s="157">
        <v>1</v>
      </c>
      <c r="G5" s="128"/>
      <c r="H5" s="132" t="str">
        <f>Riepilogo!G8</f>
        <v>Version 2.6</v>
      </c>
      <c r="I5" s="132"/>
      <c r="J5" s="130"/>
      <c r="K5" s="129"/>
      <c r="L5" s="129"/>
    </row>
    <row r="6" spans="1:12" ht="15.75" thickTop="1" x14ac:dyDescent="0.25">
      <c r="A6" s="64"/>
      <c r="B6" s="64"/>
      <c r="D6" s="64"/>
      <c r="E6" s="175"/>
      <c r="F6" s="133"/>
      <c r="G6" s="128"/>
      <c r="H6" s="129"/>
      <c r="J6" s="130"/>
      <c r="K6" s="129"/>
      <c r="L6" s="129"/>
    </row>
    <row r="7" spans="1:12" ht="15.75" customHeight="1" x14ac:dyDescent="0.25">
      <c r="A7" s="134"/>
      <c r="B7" s="64"/>
      <c r="C7" s="172" t="s">
        <v>0</v>
      </c>
      <c r="D7" s="204" t="str">
        <f>HYPERLINK("https://convenzioni.converge.it/docs/ts3_datasheet/dell-emc-poweredge-t340-spec-sheet.pdf","i")</f>
        <v>i</v>
      </c>
      <c r="E7" s="175"/>
      <c r="F7" s="175"/>
      <c r="G7" s="128"/>
      <c r="H7" s="128"/>
      <c r="I7" s="128"/>
      <c r="J7" s="129"/>
      <c r="K7" s="129"/>
      <c r="L7" s="129"/>
    </row>
    <row r="8" spans="1:12" ht="16.5" customHeight="1" x14ac:dyDescent="0.25">
      <c r="A8" s="64"/>
      <c r="B8" s="64"/>
      <c r="C8" s="178" t="s">
        <v>1</v>
      </c>
      <c r="D8" s="204"/>
      <c r="E8" s="176" t="str">
        <f>IF($F$5&gt;0,"TS3L1-SRV","")</f>
        <v>TS3L1-SRV</v>
      </c>
      <c r="F8" s="135">
        <f>IF($F$5&gt;0,1,"")</f>
        <v>1</v>
      </c>
      <c r="G8" s="128"/>
      <c r="H8" s="128"/>
      <c r="I8" s="128"/>
      <c r="J8" s="136">
        <v>1399</v>
      </c>
      <c r="K8" s="129"/>
      <c r="L8" s="136" t="str">
        <f>VLOOKUP($C8,TS3L1_ALL,12,FALSE)</f>
        <v>L1N01</v>
      </c>
    </row>
    <row r="9" spans="1:12" x14ac:dyDescent="0.25">
      <c r="A9" s="64"/>
      <c r="B9" s="64"/>
      <c r="C9" s="175"/>
      <c r="D9" s="64"/>
      <c r="E9" s="175"/>
      <c r="F9" s="133"/>
      <c r="G9" s="128"/>
      <c r="H9" s="128"/>
      <c r="I9" s="128"/>
      <c r="J9" s="130"/>
      <c r="K9" s="129"/>
      <c r="L9" s="129"/>
    </row>
    <row r="10" spans="1:12" ht="15.75" customHeight="1" x14ac:dyDescent="0.25">
      <c r="A10" s="64"/>
      <c r="B10" s="64"/>
      <c r="C10" s="172" t="s">
        <v>2</v>
      </c>
      <c r="D10" s="204" t="str">
        <f>HYPERLINK("https://dellservervr.dell.com/poweredge-t340/","i")</f>
        <v>i</v>
      </c>
      <c r="E10" s="175"/>
      <c r="F10" s="133"/>
      <c r="G10" s="128"/>
      <c r="H10" s="128"/>
      <c r="I10" s="128"/>
      <c r="J10" s="130"/>
      <c r="K10" s="129"/>
      <c r="L10" s="129"/>
    </row>
    <row r="11" spans="1:12" ht="16.5" customHeight="1" x14ac:dyDescent="0.25">
      <c r="A11" s="64"/>
      <c r="B11" s="64"/>
      <c r="C11" s="178" t="s">
        <v>3</v>
      </c>
      <c r="D11" s="204"/>
      <c r="F11" s="133"/>
      <c r="G11" s="128"/>
      <c r="H11" s="128"/>
      <c r="I11" s="128"/>
      <c r="J11" s="130"/>
      <c r="K11" s="129"/>
      <c r="L11" s="129"/>
    </row>
    <row r="12" spans="1:12" x14ac:dyDescent="0.25">
      <c r="A12" s="64"/>
      <c r="B12" s="64"/>
      <c r="C12" s="175"/>
      <c r="D12" s="64"/>
      <c r="E12" s="175"/>
      <c r="F12" s="133"/>
      <c r="G12" s="128"/>
      <c r="H12" s="128"/>
      <c r="I12" s="128"/>
      <c r="J12" s="130"/>
      <c r="K12" s="129"/>
      <c r="L12" s="129"/>
    </row>
    <row r="13" spans="1:12" ht="15.75" customHeight="1" x14ac:dyDescent="0.25">
      <c r="A13" s="64"/>
      <c r="B13" s="64"/>
      <c r="C13" s="172" t="s">
        <v>4</v>
      </c>
      <c r="D13" s="64"/>
      <c r="F13" s="133"/>
      <c r="G13" s="128"/>
      <c r="H13" s="128"/>
      <c r="I13" s="128"/>
      <c r="J13" s="130"/>
      <c r="K13" s="129"/>
      <c r="L13" s="129"/>
    </row>
    <row r="14" spans="1:12" ht="16.5" customHeight="1" x14ac:dyDescent="0.25">
      <c r="A14" s="64"/>
      <c r="B14" s="64"/>
      <c r="C14" s="178" t="s">
        <v>5</v>
      </c>
      <c r="D14" s="64"/>
      <c r="E14" s="175"/>
      <c r="F14" s="133"/>
      <c r="G14" s="128"/>
      <c r="H14" s="128"/>
      <c r="I14" s="128"/>
      <c r="J14" s="130"/>
      <c r="K14" s="129"/>
      <c r="L14" s="129"/>
    </row>
    <row r="15" spans="1:12" x14ac:dyDescent="0.25">
      <c r="A15" s="64"/>
      <c r="B15" s="64"/>
      <c r="C15" s="175"/>
      <c r="D15" s="64"/>
      <c r="E15" s="175"/>
      <c r="F15" s="133"/>
      <c r="G15" s="128"/>
      <c r="H15" s="128"/>
      <c r="I15" s="128"/>
      <c r="J15" s="130"/>
      <c r="K15" s="129"/>
      <c r="L15" s="129"/>
    </row>
    <row r="16" spans="1:12" ht="15.75" customHeight="1" x14ac:dyDescent="0.25">
      <c r="A16" s="64"/>
      <c r="B16" s="64"/>
      <c r="C16" s="172" t="s">
        <v>6</v>
      </c>
      <c r="D16" s="204" t="str">
        <f>HYPERLINK("https://ark.intel.com/content/www/it/it/ark/products/191040/intel-xeon-e-2236-processor-12m-cache-3-40-ghz.html","i")</f>
        <v>i</v>
      </c>
      <c r="E16" s="175"/>
      <c r="F16" s="133"/>
      <c r="G16" s="128"/>
      <c r="H16" s="128"/>
      <c r="I16" s="128"/>
      <c r="J16" s="130"/>
      <c r="K16" s="129"/>
      <c r="L16" s="129"/>
    </row>
    <row r="17" spans="1:12" ht="16.5" customHeight="1" x14ac:dyDescent="0.25">
      <c r="A17" s="64"/>
      <c r="B17" s="64"/>
      <c r="C17" s="178" t="s">
        <v>7</v>
      </c>
      <c r="D17" s="204"/>
      <c r="E17" s="175"/>
      <c r="F17" s="133"/>
      <c r="G17" s="128"/>
      <c r="H17" s="128"/>
      <c r="I17" s="128"/>
      <c r="J17" s="130"/>
      <c r="K17" s="129"/>
      <c r="L17" s="129"/>
    </row>
    <row r="18" spans="1:12" x14ac:dyDescent="0.25">
      <c r="A18" s="64"/>
      <c r="B18" s="64"/>
      <c r="C18" s="175"/>
      <c r="D18" s="64"/>
      <c r="E18" s="175"/>
      <c r="F18" s="133"/>
      <c r="G18" s="128"/>
      <c r="H18" s="128"/>
      <c r="I18" s="128"/>
      <c r="J18" s="130"/>
      <c r="K18" s="129"/>
      <c r="L18" s="129"/>
    </row>
    <row r="19" spans="1:12" ht="15.75" customHeight="1" thickBot="1" x14ac:dyDescent="0.3">
      <c r="A19" s="64"/>
      <c r="B19" s="64"/>
      <c r="C19" s="184" t="s">
        <v>8</v>
      </c>
      <c r="D19" s="64"/>
      <c r="E19" s="175"/>
      <c r="F19" s="175"/>
      <c r="G19" s="128"/>
      <c r="H19" s="128"/>
      <c r="I19" s="128"/>
      <c r="J19" s="129"/>
      <c r="K19" s="129"/>
      <c r="L19" s="129"/>
    </row>
    <row r="20" spans="1:12" ht="16.5" customHeight="1" thickTop="1" thickBot="1" x14ac:dyDescent="0.3">
      <c r="A20" s="64"/>
      <c r="B20" s="64"/>
      <c r="C20" s="185" t="s">
        <v>36</v>
      </c>
      <c r="D20" s="64"/>
      <c r="E20" s="178" t="str">
        <f>VLOOKUP($C$20,TS3L1_RAM,13,FALSE)</f>
        <v>TS3L1-RAM16</v>
      </c>
      <c r="F20" s="199">
        <f>VLOOKUP($C$20,TS3L1_RAM,7,FALSE)</f>
        <v>1</v>
      </c>
      <c r="G20" s="128"/>
      <c r="H20" s="128"/>
      <c r="I20" s="128"/>
      <c r="J20" s="136">
        <f>VLOOKUP($C$20,TS3L1_RAM,10,FALSE)</f>
        <v>98</v>
      </c>
      <c r="K20" s="129"/>
      <c r="L20" s="136" t="str">
        <f>VLOOKUP($C20,TS3L1_ALL,12,FALSE)</f>
        <v>L1N02</v>
      </c>
    </row>
    <row r="21" spans="1:12" ht="15.75" thickTop="1" x14ac:dyDescent="0.25">
      <c r="A21" s="64"/>
      <c r="B21" s="64"/>
      <c r="D21" s="64"/>
      <c r="E21" s="175"/>
      <c r="F21" s="133"/>
      <c r="G21" s="128"/>
      <c r="H21" s="128"/>
      <c r="I21" s="128"/>
      <c r="J21" s="130"/>
      <c r="K21" s="129"/>
      <c r="L21" s="129"/>
    </row>
    <row r="22" spans="1:12" ht="15.75" customHeight="1" thickBot="1" x14ac:dyDescent="0.3">
      <c r="A22" s="64"/>
      <c r="B22" s="64"/>
      <c r="C22" s="186" t="s">
        <v>9</v>
      </c>
      <c r="D22" s="64"/>
      <c r="E22" s="175"/>
      <c r="F22" s="175"/>
      <c r="G22" s="128"/>
      <c r="H22" s="128"/>
      <c r="I22" s="128"/>
      <c r="J22" s="129"/>
      <c r="K22" s="129"/>
      <c r="L22" s="129"/>
    </row>
    <row r="23" spans="1:12" ht="16.5" customHeight="1" thickTop="1" thickBot="1" x14ac:dyDescent="0.3">
      <c r="A23" s="64"/>
      <c r="B23" s="64"/>
      <c r="C23" s="185" t="s">
        <v>44</v>
      </c>
      <c r="D23" s="64"/>
      <c r="E23" s="178" t="str">
        <f>VLOOKUP($C$23,TS3L1_OS,13,FALSE)</f>
        <v>TS3L1-WINSRVESS</v>
      </c>
      <c r="F23" s="199">
        <f>VLOOKUP($C$23,TS3L1_OS,7,FALSE)</f>
        <v>1</v>
      </c>
      <c r="G23" s="128"/>
      <c r="H23" s="128"/>
      <c r="I23" s="128"/>
      <c r="J23" s="136">
        <f>VLOOKUP($C$23,TS3L1_OS,10,FALSE)</f>
        <v>256</v>
      </c>
      <c r="K23" s="129"/>
      <c r="L23" s="136" t="str">
        <f>VLOOKUP($C23,TS3L1_ALL,12,FALSE)</f>
        <v>L1N12</v>
      </c>
    </row>
    <row r="24" spans="1:12" ht="15.75" thickTop="1" x14ac:dyDescent="0.25">
      <c r="A24" s="64"/>
      <c r="B24" s="64"/>
      <c r="C24" s="177"/>
      <c r="D24" s="64"/>
      <c r="E24" s="175"/>
      <c r="F24" s="133"/>
      <c r="G24" s="128"/>
      <c r="H24" s="128"/>
      <c r="I24" s="128"/>
      <c r="J24" s="130"/>
      <c r="K24" s="129"/>
      <c r="L24" s="129"/>
    </row>
    <row r="25" spans="1:12" ht="15.75" customHeight="1" x14ac:dyDescent="0.25">
      <c r="A25" s="64"/>
      <c r="B25" s="64"/>
      <c r="C25" s="187" t="s">
        <v>10</v>
      </c>
      <c r="D25" s="204" t="str">
        <f>HYPERLINK("https://convenzioni.converge.it/docs/ts3_datasheet/DELL_BOSS.pdf","i")</f>
        <v>i</v>
      </c>
      <c r="F25" s="133"/>
      <c r="G25" s="128"/>
      <c r="H25" s="128"/>
      <c r="I25" s="128"/>
      <c r="J25" s="130"/>
      <c r="K25" s="129"/>
      <c r="L25" s="129"/>
    </row>
    <row r="26" spans="1:12" ht="16.5" customHeight="1" thickBot="1" x14ac:dyDescent="0.3">
      <c r="A26" s="64"/>
      <c r="B26" s="64"/>
      <c r="C26" s="188" t="s">
        <v>11</v>
      </c>
      <c r="D26" s="204"/>
      <c r="E26" s="175"/>
      <c r="F26" s="133"/>
      <c r="G26" s="128"/>
      <c r="H26" s="159" t="s">
        <v>219</v>
      </c>
      <c r="I26" s="130"/>
      <c r="J26" s="130"/>
      <c r="K26" s="129"/>
      <c r="L26" s="129"/>
    </row>
    <row r="27" spans="1:12" ht="15.75" thickTop="1" x14ac:dyDescent="0.25">
      <c r="A27" s="64"/>
      <c r="B27" s="64"/>
      <c r="C27" s="177"/>
      <c r="D27" s="64"/>
      <c r="E27" s="175"/>
      <c r="F27" s="133"/>
      <c r="G27" s="128"/>
      <c r="H27" s="205" t="s">
        <v>401</v>
      </c>
      <c r="I27" s="166"/>
      <c r="J27" s="130"/>
      <c r="K27" s="129"/>
      <c r="L27" s="129"/>
    </row>
    <row r="28" spans="1:12" ht="15.75" customHeight="1" thickBot="1" x14ac:dyDescent="0.3">
      <c r="A28" s="64"/>
      <c r="B28" s="64"/>
      <c r="C28" s="186" t="s">
        <v>12</v>
      </c>
      <c r="D28" s="64"/>
      <c r="E28" s="175"/>
      <c r="F28" s="175"/>
      <c r="G28" s="128"/>
      <c r="H28" s="206"/>
      <c r="I28" s="166"/>
      <c r="J28" s="129"/>
      <c r="K28" s="129"/>
      <c r="L28" s="129"/>
    </row>
    <row r="29" spans="1:12" ht="16.5" customHeight="1" thickTop="1" thickBot="1" x14ac:dyDescent="0.25">
      <c r="A29" s="64"/>
      <c r="B29" s="64"/>
      <c r="C29" s="185" t="s">
        <v>77</v>
      </c>
      <c r="D29" s="64"/>
      <c r="E29" s="178" t="str">
        <f>VLOOKUP($C29,TS3L1_HDD,13,FALSE)</f>
        <v>TS3L1-HDD1TB</v>
      </c>
      <c r="F29" s="199">
        <f>VLOOKUP($C29,TS3L1_HDD,7,FALSE)</f>
        <v>1</v>
      </c>
      <c r="G29" s="128"/>
      <c r="H29" s="206"/>
      <c r="I29" s="166"/>
      <c r="J29" s="158">
        <f>VLOOKUP($C29,TS3L1_HDD,10,FALSE)</f>
        <v>80</v>
      </c>
      <c r="K29" s="136">
        <f>VLOOKUP($C29,TS3L1_HDD,11,FALSE)</f>
        <v>0</v>
      </c>
      <c r="L29" s="136" t="str">
        <f>VLOOKUP($C29,TS3L1_ALL,12,FALSE)</f>
        <v>L1N07</v>
      </c>
    </row>
    <row r="30" spans="1:12" ht="15.75" thickTop="1" x14ac:dyDescent="0.25">
      <c r="A30" s="64"/>
      <c r="B30" s="64"/>
      <c r="C30" s="175"/>
      <c r="D30" s="64"/>
      <c r="E30" s="175"/>
      <c r="F30" s="133"/>
      <c r="G30" s="128"/>
      <c r="H30" s="206"/>
      <c r="I30" s="166"/>
      <c r="J30" s="130"/>
      <c r="K30" s="129"/>
      <c r="L30" s="129"/>
    </row>
    <row r="31" spans="1:12" ht="15.75" customHeight="1" thickBot="1" x14ac:dyDescent="0.3">
      <c r="A31" s="64"/>
      <c r="B31" s="64"/>
      <c r="C31" s="186" t="s">
        <v>13</v>
      </c>
      <c r="D31" s="64"/>
      <c r="E31" s="175"/>
      <c r="F31" s="175"/>
      <c r="G31" s="128"/>
      <c r="H31" s="206"/>
      <c r="I31" s="166"/>
      <c r="J31" s="129"/>
      <c r="K31" s="129"/>
      <c r="L31" s="129"/>
    </row>
    <row r="32" spans="1:12" ht="16.5" customHeight="1" thickTop="1" thickBot="1" x14ac:dyDescent="0.25">
      <c r="A32" s="64"/>
      <c r="B32" s="64"/>
      <c r="C32" s="185" t="s">
        <v>77</v>
      </c>
      <c r="D32" s="64"/>
      <c r="E32" s="178" t="str">
        <f>VLOOKUP($C32,TS3L1_HDD,13,FALSE)</f>
        <v>TS3L1-HDD1TB</v>
      </c>
      <c r="F32" s="199">
        <f>VLOOKUP($C32,TS3L1_HDD,7,FALSE)</f>
        <v>1</v>
      </c>
      <c r="G32" s="128"/>
      <c r="H32" s="206"/>
      <c r="I32" s="166"/>
      <c r="J32" s="158">
        <f>VLOOKUP($C32,TS3L1_HDD,10,FALSE)</f>
        <v>80</v>
      </c>
      <c r="K32" s="136">
        <f>VLOOKUP($C32,TS3L1_HDD,11,FALSE)</f>
        <v>0</v>
      </c>
      <c r="L32" s="136" t="str">
        <f>VLOOKUP($C32,TS3L1_ALL,12,FALSE)</f>
        <v>L1N07</v>
      </c>
    </row>
    <row r="33" spans="1:17" ht="15.75" thickTop="1" x14ac:dyDescent="0.25">
      <c r="A33" s="64"/>
      <c r="B33" s="64"/>
      <c r="C33" s="175"/>
      <c r="D33" s="64"/>
      <c r="E33" s="175"/>
      <c r="F33" s="133"/>
      <c r="G33" s="128"/>
      <c r="H33" s="206"/>
      <c r="I33" s="166"/>
      <c r="J33" s="130"/>
      <c r="K33" s="129"/>
      <c r="L33" s="129"/>
    </row>
    <row r="34" spans="1:17" ht="15.75" customHeight="1" thickBot="1" x14ac:dyDescent="0.3">
      <c r="A34" s="64"/>
      <c r="B34" s="64"/>
      <c r="C34" s="186" t="s">
        <v>14</v>
      </c>
      <c r="D34" s="64"/>
      <c r="E34" s="175"/>
      <c r="F34" s="175"/>
      <c r="G34" s="128"/>
      <c r="H34" s="206"/>
      <c r="I34" s="166"/>
      <c r="J34" s="129"/>
      <c r="K34" s="129"/>
      <c r="L34" s="129"/>
    </row>
    <row r="35" spans="1:17" ht="16.5" customHeight="1" thickTop="1" thickBot="1" x14ac:dyDescent="0.25">
      <c r="A35" s="64"/>
      <c r="B35" s="64"/>
      <c r="C35" s="185" t="s">
        <v>201</v>
      </c>
      <c r="D35" s="64"/>
      <c r="E35" s="178" t="str">
        <f>VLOOKUP($C35,TS3L1_HDD,13,FALSE)</f>
        <v/>
      </c>
      <c r="F35" s="199" t="str">
        <f>VLOOKUP($C35,TS3L1_HDD,7,FALSE)</f>
        <v/>
      </c>
      <c r="G35" s="128"/>
      <c r="H35" s="206"/>
      <c r="I35" s="166"/>
      <c r="J35" s="158">
        <f>VLOOKUP($C35,TS3L1_HDD,10,FALSE)</f>
        <v>0</v>
      </c>
      <c r="K35" s="136">
        <f>VLOOKUP($C35,TS3L1_HDD,11,FALSE)</f>
        <v>0</v>
      </c>
      <c r="L35" s="136" t="str">
        <f>VLOOKUP($C35,TS3L1_ALL,12,FALSE)</f>
        <v/>
      </c>
    </row>
    <row r="36" spans="1:17" ht="15.75" thickTop="1" x14ac:dyDescent="0.25">
      <c r="A36" s="64"/>
      <c r="B36" s="64"/>
      <c r="C36" s="175"/>
      <c r="D36" s="64"/>
      <c r="E36" s="175"/>
      <c r="F36" s="133"/>
      <c r="G36" s="128"/>
      <c r="H36" s="206"/>
      <c r="I36" s="166"/>
      <c r="J36" s="130"/>
      <c r="K36" s="129"/>
      <c r="L36" s="129"/>
    </row>
    <row r="37" spans="1:17" ht="15.75" customHeight="1" thickBot="1" x14ac:dyDescent="0.3">
      <c r="A37" s="64"/>
      <c r="B37" s="64"/>
      <c r="C37" s="186" t="s">
        <v>16</v>
      </c>
      <c r="D37" s="64"/>
      <c r="E37" s="175"/>
      <c r="F37" s="175"/>
      <c r="G37" s="128"/>
      <c r="H37" s="206"/>
      <c r="I37" s="166"/>
      <c r="J37" s="129"/>
      <c r="K37" s="129"/>
      <c r="L37" s="129"/>
    </row>
    <row r="38" spans="1:17" ht="16.5" customHeight="1" thickTop="1" thickBot="1" x14ac:dyDescent="0.25">
      <c r="A38" s="64"/>
      <c r="B38" s="64"/>
      <c r="C38" s="185" t="s">
        <v>201</v>
      </c>
      <c r="D38" s="64"/>
      <c r="E38" s="178" t="str">
        <f>VLOOKUP($C38,TS3L1_HDD,13,FALSE)</f>
        <v/>
      </c>
      <c r="F38" s="199" t="str">
        <f>VLOOKUP($C38,TS3L1_HDD,7,FALSE)</f>
        <v/>
      </c>
      <c r="G38" s="128"/>
      <c r="H38" s="207"/>
      <c r="I38" s="166"/>
      <c r="J38" s="158">
        <f>VLOOKUP($C38,TS3L1_HDD,10,FALSE)</f>
        <v>0</v>
      </c>
      <c r="K38" s="136">
        <f>VLOOKUP($C38,TS3L1_HDD,11,FALSE)</f>
        <v>0</v>
      </c>
      <c r="L38" s="136" t="str">
        <f>VLOOKUP($C38,TS3L1_ALL,12,FALSE)</f>
        <v/>
      </c>
    </row>
    <row r="39" spans="1:17" ht="15.75" thickTop="1" x14ac:dyDescent="0.25">
      <c r="A39" s="64"/>
      <c r="B39" s="64"/>
      <c r="C39" s="175"/>
      <c r="D39" s="64"/>
      <c r="E39" s="175"/>
      <c r="F39" s="133"/>
      <c r="G39" s="128"/>
      <c r="H39" s="128"/>
      <c r="I39" s="128"/>
      <c r="J39" s="130"/>
      <c r="K39" s="129"/>
      <c r="L39" s="129"/>
    </row>
    <row r="40" spans="1:17" ht="15.75" customHeight="1" thickBot="1" x14ac:dyDescent="0.3">
      <c r="A40" s="64"/>
      <c r="B40" s="64"/>
      <c r="C40" s="186" t="s">
        <v>15</v>
      </c>
      <c r="D40" s="64"/>
      <c r="E40" s="175"/>
      <c r="F40" s="175"/>
      <c r="G40" s="128"/>
      <c r="H40" s="128"/>
      <c r="I40" s="128"/>
      <c r="J40" s="129"/>
      <c r="K40" s="129"/>
      <c r="L40" s="129"/>
    </row>
    <row r="41" spans="1:17" ht="16.5" customHeight="1" thickTop="1" thickBot="1" x14ac:dyDescent="0.3">
      <c r="A41" s="134"/>
      <c r="B41" s="64"/>
      <c r="C41" s="185" t="s">
        <v>398</v>
      </c>
      <c r="D41" s="64"/>
      <c r="E41" s="178" t="str">
        <f>VLOOKUP($C41,TS3L1_PSU,13,FALSE)</f>
        <v>TS3L1-PSUDVDBZL</v>
      </c>
      <c r="F41" s="199">
        <f>VLOOKUP($C41,TS3L1_PSU,7,FALSE)</f>
        <v>1</v>
      </c>
      <c r="G41" s="128"/>
      <c r="H41" s="128"/>
      <c r="I41" s="128"/>
      <c r="J41" s="136">
        <f>VLOOKUP($C41,TS3L1_PSU,10,FALSE)</f>
        <v>0</v>
      </c>
      <c r="L41" s="134" t="str">
        <f>IF((M41+M80+M83)&gt;0,"L1N18",0)</f>
        <v>L1N18</v>
      </c>
      <c r="M41" s="170">
        <f>IF(Q41="",0,1)</f>
        <v>1</v>
      </c>
      <c r="N41" s="171">
        <f>(M41+M80+M83)/(M41+M80+M83)</f>
        <v>1</v>
      </c>
      <c r="O41" s="136">
        <f>VLOOKUP($C41,TS3L1_PSU,11,FALSE)</f>
        <v>230</v>
      </c>
      <c r="P41" s="170">
        <f>N42/N41</f>
        <v>230</v>
      </c>
      <c r="Q41" s="136" t="str">
        <f>VLOOKUP($C41,TS3L1_ALL,12,FALSE)</f>
        <v>L1N18</v>
      </c>
    </row>
    <row r="42" spans="1:17" ht="15.75" thickTop="1" x14ac:dyDescent="0.25">
      <c r="A42" s="64"/>
      <c r="B42" s="64"/>
      <c r="C42" s="175"/>
      <c r="D42" s="64"/>
      <c r="E42" s="175"/>
      <c r="F42" s="133"/>
      <c r="G42" s="128"/>
      <c r="H42" s="128"/>
      <c r="I42" s="128"/>
      <c r="J42" s="130"/>
      <c r="K42" s="134">
        <f>IFERROR(N42,0)</f>
        <v>230</v>
      </c>
      <c r="L42" s="129" t="str">
        <f>IF(Q41="L1N18","TS3L12PSU","TS3L11PSU")</f>
        <v>TS3L12PSU</v>
      </c>
      <c r="N42" s="170">
        <f>(O41+O80+O83)/(M41+M80+M83)</f>
        <v>230</v>
      </c>
    </row>
    <row r="43" spans="1:17" ht="15.75" customHeight="1" x14ac:dyDescent="0.25">
      <c r="A43" s="64"/>
      <c r="B43" s="64"/>
      <c r="C43" s="131" t="s">
        <v>193</v>
      </c>
      <c r="D43" s="204" t="str">
        <f>HYPERLINK("https://convenzioni.converge.it/docs/ts3_datasheet/idrac-spec-sheet.pdf","i")</f>
        <v>i</v>
      </c>
      <c r="E43" s="175"/>
      <c r="F43" s="133"/>
      <c r="G43" s="128"/>
      <c r="H43" s="128"/>
      <c r="I43" s="128"/>
      <c r="J43" s="129"/>
      <c r="K43" s="129"/>
      <c r="L43" s="129"/>
    </row>
    <row r="44" spans="1:17" ht="16.5" customHeight="1" x14ac:dyDescent="0.25">
      <c r="A44" s="64"/>
      <c r="B44" s="64"/>
      <c r="C44" s="176" t="s">
        <v>194</v>
      </c>
      <c r="D44" s="204"/>
      <c r="E44" s="175"/>
      <c r="F44" s="133"/>
      <c r="G44" s="128"/>
      <c r="H44" s="128"/>
      <c r="I44" s="128"/>
      <c r="J44" s="130"/>
      <c r="K44" s="129"/>
      <c r="L44" s="129"/>
    </row>
    <row r="45" spans="1:17" x14ac:dyDescent="0.25">
      <c r="A45" s="64"/>
      <c r="B45" s="64"/>
      <c r="C45" s="175"/>
      <c r="D45" s="64"/>
      <c r="E45" s="175"/>
      <c r="F45" s="133"/>
      <c r="G45" s="128"/>
      <c r="H45" s="128"/>
      <c r="I45" s="128"/>
      <c r="J45" s="129"/>
      <c r="K45" s="129"/>
      <c r="L45" s="129"/>
    </row>
    <row r="46" spans="1:17" ht="15.75" customHeight="1" x14ac:dyDescent="0.25">
      <c r="A46" s="64"/>
      <c r="B46" s="64"/>
      <c r="C46" s="131" t="s">
        <v>195</v>
      </c>
      <c r="D46" s="64"/>
      <c r="E46" s="175"/>
      <c r="F46" s="133"/>
      <c r="G46" s="128"/>
      <c r="H46" s="128"/>
      <c r="I46" s="128"/>
      <c r="J46" s="130"/>
      <c r="K46" s="129"/>
      <c r="L46" s="129"/>
    </row>
    <row r="47" spans="1:17" ht="16.5" customHeight="1" x14ac:dyDescent="0.25">
      <c r="A47" s="64"/>
      <c r="B47" s="64"/>
      <c r="C47" s="176" t="s">
        <v>196</v>
      </c>
      <c r="D47" s="64"/>
      <c r="E47" s="175"/>
      <c r="F47" s="133"/>
      <c r="G47" s="128"/>
      <c r="H47" s="128"/>
      <c r="I47" s="128"/>
      <c r="J47" s="129"/>
      <c r="K47" s="129"/>
      <c r="L47" s="129"/>
    </row>
    <row r="48" spans="1:17" x14ac:dyDescent="0.25">
      <c r="A48" s="64"/>
      <c r="B48" s="64"/>
      <c r="C48" s="189"/>
      <c r="D48" s="64"/>
      <c r="E48" s="175"/>
      <c r="F48" s="133"/>
      <c r="G48" s="128"/>
      <c r="H48" s="128"/>
      <c r="I48" s="128"/>
      <c r="J48" s="130"/>
      <c r="K48" s="129"/>
      <c r="L48" s="129"/>
    </row>
    <row r="49" spans="1:12" ht="15.75" customHeight="1" x14ac:dyDescent="0.25">
      <c r="A49" s="64"/>
      <c r="B49" s="64"/>
      <c r="C49" s="190" t="s">
        <v>197</v>
      </c>
      <c r="D49" s="64"/>
      <c r="E49" s="175"/>
      <c r="F49" s="133"/>
      <c r="G49" s="128"/>
      <c r="H49" s="128"/>
      <c r="I49" s="128"/>
      <c r="J49" s="129"/>
      <c r="K49" s="129"/>
      <c r="L49" s="129"/>
    </row>
    <row r="50" spans="1:12" ht="16.5" customHeight="1" x14ac:dyDescent="0.2">
      <c r="A50" s="64"/>
      <c r="B50" s="64"/>
      <c r="C50" s="191" t="s">
        <v>152</v>
      </c>
      <c r="D50" s="64"/>
      <c r="E50" s="178" t="str">
        <f>VLOOKUP($C50,TS3L1_PCI1,13,FALSE)</f>
        <v/>
      </c>
      <c r="F50" s="199" t="str">
        <f>VLOOKUP($C50,TS3L1_PCI1,7,FALSE)</f>
        <v/>
      </c>
      <c r="G50" s="128"/>
      <c r="H50" s="128"/>
      <c r="I50" s="128"/>
      <c r="J50" s="136">
        <f>VLOOKUP($C50,TS3L1_PCI1,10,FALSE)</f>
        <v>0</v>
      </c>
      <c r="K50" s="136">
        <f>VLOOKUP($C50,TS3L1_PCI1,11,FALSE)</f>
        <v>0</v>
      </c>
      <c r="L50" s="136" t="str">
        <f>VLOOKUP($C50,TS3L1_ALL,12,FALSE)</f>
        <v/>
      </c>
    </row>
    <row r="51" spans="1:12" x14ac:dyDescent="0.25">
      <c r="A51" s="64"/>
      <c r="B51" s="64"/>
      <c r="D51" s="64"/>
      <c r="E51" s="175"/>
      <c r="F51" s="133"/>
      <c r="G51" s="128"/>
      <c r="H51" s="128"/>
      <c r="I51" s="128"/>
      <c r="J51" s="130"/>
      <c r="K51" s="129"/>
      <c r="L51" s="129"/>
    </row>
    <row r="52" spans="1:12" ht="15.75" customHeight="1" thickBot="1" x14ac:dyDescent="0.3">
      <c r="A52" s="64"/>
      <c r="B52" s="64"/>
      <c r="C52" s="192" t="s">
        <v>205</v>
      </c>
      <c r="D52" s="64"/>
      <c r="E52" s="175"/>
      <c r="F52" s="133"/>
      <c r="G52" s="128"/>
      <c r="H52" s="128"/>
      <c r="I52" s="128"/>
      <c r="J52" s="129"/>
      <c r="K52" s="129"/>
      <c r="L52" s="129"/>
    </row>
    <row r="53" spans="1:12" ht="16.5" customHeight="1" thickTop="1" thickBot="1" x14ac:dyDescent="0.25">
      <c r="A53" s="64"/>
      <c r="B53" s="64"/>
      <c r="C53" s="185" t="s">
        <v>201</v>
      </c>
      <c r="D53" s="64"/>
      <c r="E53" s="178" t="str">
        <f>VLOOKUP($C53,TS3L1_PCI2,13,FALSE)</f>
        <v/>
      </c>
      <c r="F53" s="199" t="str">
        <f>VLOOKUP($C53,TS3L1_PCI2,7,FALSE)</f>
        <v/>
      </c>
      <c r="G53" s="128"/>
      <c r="H53" s="128"/>
      <c r="I53" s="128"/>
      <c r="J53" s="136">
        <f>VLOOKUP($C53,TS3L1_PCI2,10,FALSE)</f>
        <v>0</v>
      </c>
      <c r="K53" s="136">
        <f>VLOOKUP($C53,TS3L1_PCI2,11,FALSE)</f>
        <v>0</v>
      </c>
      <c r="L53" s="136" t="str">
        <f>VLOOKUP($C53,TS3L1_ALL,12,FALSE)</f>
        <v/>
      </c>
    </row>
    <row r="54" spans="1:12" ht="15.75" thickTop="1" x14ac:dyDescent="0.25">
      <c r="A54" s="64"/>
      <c r="B54" s="64"/>
      <c r="D54" s="64"/>
      <c r="E54" s="175"/>
      <c r="F54" s="133"/>
      <c r="G54" s="128"/>
      <c r="H54" s="128"/>
      <c r="I54" s="128"/>
      <c r="J54" s="130"/>
      <c r="K54" s="129"/>
      <c r="L54" s="129"/>
    </row>
    <row r="55" spans="1:12" ht="15.75" customHeight="1" thickBot="1" x14ac:dyDescent="0.3">
      <c r="A55" s="64"/>
      <c r="B55" s="64"/>
      <c r="C55" s="192" t="s">
        <v>204</v>
      </c>
      <c r="D55" s="64"/>
      <c r="E55" s="175"/>
      <c r="F55" s="133"/>
      <c r="G55" s="128"/>
      <c r="H55" s="128"/>
      <c r="I55" s="128"/>
      <c r="J55" s="129"/>
      <c r="K55" s="129"/>
      <c r="L55" s="129"/>
    </row>
    <row r="56" spans="1:12" ht="16.5" customHeight="1" thickTop="1" thickBot="1" x14ac:dyDescent="0.25">
      <c r="A56" s="64"/>
      <c r="B56" s="64"/>
      <c r="C56" s="185" t="s">
        <v>201</v>
      </c>
      <c r="D56" s="64"/>
      <c r="E56" s="178" t="str">
        <f>VLOOKUP($C56,TS3L1_PCI3,13,FALSE)</f>
        <v/>
      </c>
      <c r="F56" s="199" t="str">
        <f>VLOOKUP($C56,TS3L1_PCI3,7,FALSE)</f>
        <v/>
      </c>
      <c r="G56" s="128"/>
      <c r="H56" s="128"/>
      <c r="I56" s="128"/>
      <c r="J56" s="136">
        <f>VLOOKUP($C56,TS3L1_PCI3,10,FALSE)</f>
        <v>0</v>
      </c>
      <c r="K56" s="136">
        <f>VLOOKUP($C56,TS3L1_PCI3,11,FALSE)</f>
        <v>0</v>
      </c>
      <c r="L56" s="136" t="str">
        <f>VLOOKUP($C56,TS3L1_ALL,12,FALSE)</f>
        <v/>
      </c>
    </row>
    <row r="57" spans="1:12" ht="15.75" thickTop="1" x14ac:dyDescent="0.25">
      <c r="A57" s="64"/>
      <c r="B57" s="64"/>
      <c r="D57" s="64"/>
      <c r="E57" s="175"/>
      <c r="F57" s="133"/>
      <c r="G57" s="128"/>
      <c r="H57" s="128"/>
      <c r="I57" s="128"/>
      <c r="J57" s="130"/>
      <c r="K57" s="129"/>
      <c r="L57" s="129"/>
    </row>
    <row r="58" spans="1:12" ht="15.75" customHeight="1" thickBot="1" x14ac:dyDescent="0.3">
      <c r="A58" s="64"/>
      <c r="B58" s="64"/>
      <c r="C58" s="192" t="s">
        <v>203</v>
      </c>
      <c r="D58" s="64"/>
      <c r="E58" s="175"/>
      <c r="F58" s="133"/>
      <c r="G58" s="128"/>
      <c r="H58" s="128"/>
      <c r="I58" s="128"/>
      <c r="J58" s="129"/>
      <c r="K58" s="129"/>
      <c r="L58" s="129"/>
    </row>
    <row r="59" spans="1:12" ht="16.5" customHeight="1" thickTop="1" thickBot="1" x14ac:dyDescent="0.25">
      <c r="A59" s="64"/>
      <c r="B59" s="64"/>
      <c r="C59" s="185" t="s">
        <v>201</v>
      </c>
      <c r="D59" s="64"/>
      <c r="E59" s="178" t="str">
        <f>VLOOKUP($C59,TS3L1_PCI4,13,FALSE)</f>
        <v/>
      </c>
      <c r="F59" s="199" t="str">
        <f>VLOOKUP($C59,TS3L1_PCI4,7,FALSE)</f>
        <v/>
      </c>
      <c r="G59" s="128"/>
      <c r="H59" s="128"/>
      <c r="I59" s="128"/>
      <c r="J59" s="136">
        <f>VLOOKUP($C59,TS3L1_PCI4,10,FALSE)</f>
        <v>0</v>
      </c>
      <c r="K59" s="136">
        <f>VLOOKUP($C59,TS3L1_PCI4,11,FALSE)</f>
        <v>0</v>
      </c>
      <c r="L59" s="136" t="str">
        <f>VLOOKUP($C59,TS3L1_ALL,12,FALSE)</f>
        <v/>
      </c>
    </row>
    <row r="60" spans="1:12" ht="14.25" customHeight="1" thickTop="1" x14ac:dyDescent="0.25">
      <c r="A60" s="64"/>
      <c r="B60" s="64"/>
      <c r="C60" s="193"/>
      <c r="D60" s="64"/>
      <c r="E60" s="175"/>
      <c r="F60" s="133"/>
      <c r="G60" s="128"/>
      <c r="H60" s="128"/>
      <c r="I60" s="128"/>
      <c r="J60" s="130"/>
      <c r="K60" s="129"/>
      <c r="L60" s="129"/>
    </row>
    <row r="61" spans="1:12" hidden="1" x14ac:dyDescent="0.25">
      <c r="A61" s="64"/>
      <c r="B61" s="64"/>
      <c r="C61" s="190" t="s">
        <v>331</v>
      </c>
      <c r="D61" s="64"/>
      <c r="E61" s="175"/>
      <c r="F61" s="151" t="s">
        <v>273</v>
      </c>
      <c r="G61" s="128"/>
      <c r="H61" s="128"/>
      <c r="I61" s="128"/>
      <c r="J61" s="130"/>
      <c r="K61" s="129"/>
      <c r="L61" s="129"/>
    </row>
    <row r="62" spans="1:12" ht="12.75" hidden="1" x14ac:dyDescent="0.2">
      <c r="A62" s="64"/>
      <c r="B62" s="64"/>
      <c r="C62" s="194" t="s">
        <v>332</v>
      </c>
      <c r="D62" s="64"/>
      <c r="E62" s="178" t="str">
        <f>IF(K62&gt;0,VLOOKUP($C62,TS3L1_ALL,13,FALSE),"")</f>
        <v/>
      </c>
      <c r="F62" s="200">
        <v>0</v>
      </c>
      <c r="G62" s="128"/>
      <c r="H62" s="128"/>
      <c r="I62" s="128"/>
      <c r="J62" s="136"/>
      <c r="K62" s="136">
        <f>VLOOKUP($C62,TS3L1_ALL,11,FALSE)*F62</f>
        <v>0</v>
      </c>
      <c r="L62" s="136" t="str">
        <f>VLOOKUP($C62,TS3L1_ALL,12,FALSE)</f>
        <v>L1N34</v>
      </c>
    </row>
    <row r="63" spans="1:12" hidden="1" x14ac:dyDescent="0.25">
      <c r="A63" s="64"/>
      <c r="B63" s="64"/>
      <c r="C63" s="193"/>
      <c r="D63" s="64"/>
      <c r="E63" s="175"/>
      <c r="F63" s="133"/>
      <c r="G63" s="128"/>
      <c r="H63" s="128"/>
      <c r="I63" s="128"/>
      <c r="J63" s="130"/>
      <c r="K63" s="129"/>
      <c r="L63" s="129"/>
    </row>
    <row r="64" spans="1:12" hidden="1" x14ac:dyDescent="0.25">
      <c r="A64" s="64"/>
      <c r="B64" s="64"/>
      <c r="C64" s="190" t="s">
        <v>333</v>
      </c>
      <c r="D64" s="64"/>
      <c r="E64" s="175"/>
      <c r="F64" s="151" t="s">
        <v>273</v>
      </c>
      <c r="G64" s="128"/>
      <c r="H64" s="128"/>
      <c r="I64" s="128"/>
      <c r="J64" s="130"/>
      <c r="K64" s="129"/>
      <c r="L64" s="129"/>
    </row>
    <row r="65" spans="1:17" ht="12.75" hidden="1" x14ac:dyDescent="0.2">
      <c r="A65" s="64"/>
      <c r="B65" s="64"/>
      <c r="C65" s="194" t="s">
        <v>334</v>
      </c>
      <c r="D65" s="64"/>
      <c r="E65" s="178" t="str">
        <f>IF(K65&gt;0,VLOOKUP($C65,TS3L1_ALL,13,FALSE),"")</f>
        <v/>
      </c>
      <c r="F65" s="200"/>
      <c r="G65" s="128"/>
      <c r="H65" s="128"/>
      <c r="I65" s="128"/>
      <c r="J65" s="136"/>
      <c r="K65" s="136">
        <f>VLOOKUP($C65,TS3L1_ALL,11,FALSE)*F65</f>
        <v>0</v>
      </c>
      <c r="L65" s="136" t="str">
        <f>VLOOKUP($C65,TS3L1_ALL,12,FALSE)</f>
        <v>L1N35</v>
      </c>
    </row>
    <row r="66" spans="1:17" ht="12.75" hidden="1" x14ac:dyDescent="0.2">
      <c r="A66" s="64"/>
      <c r="B66" s="64"/>
      <c r="C66" s="194" t="s">
        <v>335</v>
      </c>
      <c r="D66" s="64"/>
      <c r="E66" s="178" t="str">
        <f>IF(K66&gt;0,VLOOKUP($C66,TS3L1_ALL,13,FALSE),"")</f>
        <v/>
      </c>
      <c r="F66" s="200"/>
      <c r="G66" s="128"/>
      <c r="H66" s="128"/>
      <c r="I66" s="128"/>
      <c r="J66" s="136"/>
      <c r="K66" s="136">
        <f>VLOOKUP($C66,TS3L1_ALL,11,FALSE)*F66</f>
        <v>0</v>
      </c>
      <c r="L66" s="136" t="str">
        <f>VLOOKUP($C66,TS3L1_ALL,12,FALSE)</f>
        <v>L1N36</v>
      </c>
    </row>
    <row r="67" spans="1:17" ht="12.75" hidden="1" x14ac:dyDescent="0.2">
      <c r="A67" s="64"/>
      <c r="B67" s="64"/>
      <c r="C67" s="194" t="s">
        <v>336</v>
      </c>
      <c r="D67" s="64"/>
      <c r="E67" s="178" t="str">
        <f>IF(K67&gt;0,VLOOKUP($C67,TS3L1_ALL,13,FALSE),"")</f>
        <v/>
      </c>
      <c r="F67" s="200"/>
      <c r="G67" s="128"/>
      <c r="H67" s="128"/>
      <c r="I67" s="128"/>
      <c r="J67" s="136"/>
      <c r="K67" s="136">
        <f>VLOOKUP($C67,TS3L1_ALL,11,FALSE)*F67</f>
        <v>0</v>
      </c>
      <c r="L67" s="136" t="str">
        <f>VLOOKUP($C67,TS3L1_ALL,12,FALSE)</f>
        <v>L1N37</v>
      </c>
    </row>
    <row r="68" spans="1:17" ht="14.25" hidden="1" customHeight="1" x14ac:dyDescent="0.25">
      <c r="A68" s="64"/>
      <c r="B68" s="64"/>
      <c r="C68" s="193"/>
      <c r="D68" s="64"/>
      <c r="E68" s="175"/>
      <c r="F68" s="133"/>
      <c r="G68" s="128"/>
      <c r="H68" s="128"/>
      <c r="I68" s="128"/>
      <c r="J68" s="130"/>
      <c r="K68" s="129"/>
      <c r="L68" s="129"/>
    </row>
    <row r="69" spans="1:17" ht="15.75" customHeight="1" thickBot="1" x14ac:dyDescent="0.3">
      <c r="A69" s="64"/>
      <c r="B69" s="64"/>
      <c r="C69" s="190" t="s">
        <v>337</v>
      </c>
      <c r="D69" s="64"/>
      <c r="E69" s="175"/>
      <c r="F69" s="160" t="s">
        <v>273</v>
      </c>
      <c r="G69" s="128"/>
      <c r="H69" s="128"/>
      <c r="I69" s="128"/>
      <c r="J69" s="130"/>
      <c r="K69" s="129"/>
      <c r="L69" s="129"/>
    </row>
    <row r="70" spans="1:17" ht="16.5" customHeight="1" thickTop="1" thickBot="1" x14ac:dyDescent="0.25">
      <c r="A70" s="64"/>
      <c r="B70" s="64"/>
      <c r="C70" s="191" t="s">
        <v>320</v>
      </c>
      <c r="D70" s="64"/>
      <c r="E70" s="179" t="str">
        <f>IF(K70&gt;0,VLOOKUP($C70,TS3L1_ALL,13,FALSE),"")</f>
        <v>TS3L1-RJ453M</v>
      </c>
      <c r="F70" s="201">
        <v>3</v>
      </c>
      <c r="G70" s="128"/>
      <c r="H70" s="128"/>
      <c r="I70" s="128"/>
      <c r="J70" s="136">
        <v>0</v>
      </c>
      <c r="K70" s="136">
        <f>IF(F70&gt;0,(F70)*ConfigurationTS3L1!K58,0)</f>
        <v>9</v>
      </c>
      <c r="L70" s="136" t="str">
        <f>VLOOKUP($C70,TS3L1_ALL,12,FALSE)</f>
        <v>L1N26</v>
      </c>
    </row>
    <row r="71" spans="1:17" ht="15.75" hidden="1" thickTop="1" x14ac:dyDescent="0.25">
      <c r="A71" s="64"/>
      <c r="B71" s="64"/>
      <c r="C71" s="193"/>
      <c r="D71" s="64"/>
      <c r="E71" s="175"/>
      <c r="F71" s="133"/>
      <c r="G71" s="128"/>
      <c r="H71" s="128"/>
      <c r="I71" s="128"/>
      <c r="J71" s="130"/>
      <c r="K71" s="129"/>
      <c r="L71" s="129"/>
    </row>
    <row r="72" spans="1:17" ht="15.75" hidden="1" thickTop="1" x14ac:dyDescent="0.25">
      <c r="A72" s="64"/>
      <c r="B72" s="64"/>
      <c r="C72" s="190" t="s">
        <v>338</v>
      </c>
      <c r="D72" s="64"/>
      <c r="E72" s="175"/>
      <c r="F72" s="151" t="s">
        <v>273</v>
      </c>
      <c r="G72" s="128"/>
      <c r="H72" s="128"/>
      <c r="I72" s="128"/>
      <c r="J72" s="130"/>
      <c r="K72" s="129"/>
      <c r="L72" s="129"/>
    </row>
    <row r="73" spans="1:17" ht="13.5" hidden="1" thickTop="1" x14ac:dyDescent="0.2">
      <c r="A73" s="64"/>
      <c r="B73" s="64"/>
      <c r="C73" s="194" t="s">
        <v>339</v>
      </c>
      <c r="D73" s="64"/>
      <c r="E73" s="178" t="str">
        <f>IF(K73&gt;0,VLOOKUP($C73,TS3L1_ALL,13,FALSE),"")</f>
        <v/>
      </c>
      <c r="F73" s="200"/>
      <c r="G73" s="128"/>
      <c r="H73" s="128"/>
      <c r="I73" s="128"/>
      <c r="J73" s="136"/>
      <c r="K73" s="136">
        <f>VLOOKUP($C73,TS3L1_ALL,11,FALSE)*F73</f>
        <v>0</v>
      </c>
      <c r="L73" s="136" t="str">
        <f>VLOOKUP($C73,TS3L1_ALL,12,FALSE)</f>
        <v>L1N29</v>
      </c>
    </row>
    <row r="74" spans="1:17" ht="13.5" hidden="1" thickTop="1" x14ac:dyDescent="0.2">
      <c r="A74" s="64"/>
      <c r="B74" s="64"/>
      <c r="C74" s="194" t="s">
        <v>340</v>
      </c>
      <c r="D74" s="64"/>
      <c r="E74" s="178" t="str">
        <f>IF(K74&gt;0,VLOOKUP($C74,TS3L1_ALL,13,FALSE),"")</f>
        <v/>
      </c>
      <c r="F74" s="200"/>
      <c r="G74" s="128"/>
      <c r="H74" s="128"/>
      <c r="I74" s="128"/>
      <c r="J74" s="136"/>
      <c r="K74" s="136">
        <f>VLOOKUP($C74,TS3L1_ALL,11,FALSE)*F74</f>
        <v>0</v>
      </c>
      <c r="L74" s="136" t="str">
        <f>VLOOKUP($C74,TS3L1_ALL,12,FALSE)</f>
        <v>L1N30</v>
      </c>
    </row>
    <row r="75" spans="1:17" ht="13.5" hidden="1" thickTop="1" x14ac:dyDescent="0.2">
      <c r="A75" s="64"/>
      <c r="B75" s="64"/>
      <c r="C75" s="194" t="s">
        <v>341</v>
      </c>
      <c r="D75" s="64"/>
      <c r="E75" s="178" t="str">
        <f>IF(K75&gt;0,VLOOKUP($C75,TS3L1_ALL,13,FALSE),"")</f>
        <v/>
      </c>
      <c r="F75" s="200"/>
      <c r="G75" s="128"/>
      <c r="H75" s="128"/>
      <c r="I75" s="128"/>
      <c r="J75" s="136"/>
      <c r="K75" s="136">
        <f>VLOOKUP($C75,TS3L1_ALL,11,FALSE)*F75</f>
        <v>0</v>
      </c>
      <c r="L75" s="136" t="str">
        <f>VLOOKUP($C75,TS3L1_ALL,12,FALSE)</f>
        <v>L1N31</v>
      </c>
    </row>
    <row r="76" spans="1:17" ht="13.5" hidden="1" thickTop="1" x14ac:dyDescent="0.2">
      <c r="A76" s="64"/>
      <c r="B76" s="64"/>
      <c r="C76" s="194" t="s">
        <v>342</v>
      </c>
      <c r="D76" s="64"/>
      <c r="E76" s="178" t="str">
        <f>IF(K76&gt;0,VLOOKUP($C76,TS3L1_ALL,13,FALSE),"")</f>
        <v/>
      </c>
      <c r="F76" s="200"/>
      <c r="G76" s="128"/>
      <c r="H76" s="128"/>
      <c r="I76" s="128"/>
      <c r="J76" s="136"/>
      <c r="K76" s="136">
        <f>VLOOKUP($C76,TS3L1_ALL,11,FALSE)*F76</f>
        <v>0</v>
      </c>
      <c r="L76" s="136" t="str">
        <f>VLOOKUP($C76,TS3L1_ALL,12,FALSE)</f>
        <v>L1N32</v>
      </c>
    </row>
    <row r="77" spans="1:17" ht="13.5" hidden="1" thickTop="1" x14ac:dyDescent="0.2">
      <c r="A77" s="64"/>
      <c r="B77" s="64"/>
      <c r="C77" s="194" t="s">
        <v>343</v>
      </c>
      <c r="D77" s="64"/>
      <c r="E77" s="178" t="str">
        <f>IF(K77&gt;0,VLOOKUP($C77,TS3L1_ALL,13,FALSE),"")</f>
        <v/>
      </c>
      <c r="F77" s="200"/>
      <c r="G77" s="128"/>
      <c r="H77" s="128"/>
      <c r="I77" s="128"/>
      <c r="J77" s="136"/>
      <c r="K77" s="136">
        <f>VLOOKUP($C77,TS3L1_ALL,11,FALSE)*F77</f>
        <v>0</v>
      </c>
      <c r="L77" s="136" t="str">
        <f>VLOOKUP($C77,TS3L1_ALL,12,FALSE)</f>
        <v>L1N33</v>
      </c>
    </row>
    <row r="78" spans="1:17" ht="15.75" thickTop="1" x14ac:dyDescent="0.25">
      <c r="A78" s="64"/>
      <c r="B78" s="64"/>
      <c r="C78" s="193"/>
      <c r="D78" s="64"/>
      <c r="E78" s="175"/>
      <c r="F78" s="133"/>
      <c r="G78" s="128"/>
      <c r="H78" s="128"/>
      <c r="I78" s="128"/>
      <c r="J78" s="130"/>
      <c r="K78" s="129"/>
      <c r="L78" s="129"/>
    </row>
    <row r="79" spans="1:17" ht="15.75" customHeight="1" thickBot="1" x14ac:dyDescent="0.3">
      <c r="A79" s="64"/>
      <c r="B79" s="64"/>
      <c r="C79" s="186" t="s">
        <v>155</v>
      </c>
      <c r="D79" s="64"/>
      <c r="E79" s="175"/>
      <c r="F79" s="133"/>
      <c r="G79" s="128"/>
      <c r="H79" s="128"/>
      <c r="I79" s="128"/>
      <c r="J79" s="129"/>
      <c r="K79" s="129"/>
      <c r="L79" s="129"/>
    </row>
    <row r="80" spans="1:17" ht="16.5" customHeight="1" thickTop="1" thickBot="1" x14ac:dyDescent="0.3">
      <c r="A80" s="64"/>
      <c r="B80" s="64"/>
      <c r="C80" s="185" t="s">
        <v>154</v>
      </c>
      <c r="D80" s="64"/>
      <c r="E80" s="178" t="str">
        <f>VLOOKUP($C80,TS3L1_BEZEL,13,FALSE)</f>
        <v/>
      </c>
      <c r="F80" s="199" t="str">
        <f>VLOOKUP($C80,TS3L1_BEZEL,7,FALSE)</f>
        <v/>
      </c>
      <c r="G80" s="128"/>
      <c r="H80" s="128"/>
      <c r="I80" s="128"/>
      <c r="J80" s="136">
        <f>VLOOKUP($C80,TS3L1_BEZEL,10,FALSE)</f>
        <v>0</v>
      </c>
      <c r="M80" s="170">
        <f>IF(Q80="",0,1)</f>
        <v>0</v>
      </c>
      <c r="O80" s="136">
        <f>VLOOKUP($C80,TS3L1_BEZEL,11,FALSE)</f>
        <v>0</v>
      </c>
      <c r="Q80" s="136" t="str">
        <f>VLOOKUP($C80,TS3L1_ALL,12,FALSE)</f>
        <v/>
      </c>
    </row>
    <row r="81" spans="1:17" ht="15.75" thickTop="1" x14ac:dyDescent="0.25">
      <c r="A81" s="134"/>
      <c r="B81" s="64"/>
      <c r="C81" s="177"/>
      <c r="D81" s="64"/>
      <c r="E81" s="175"/>
      <c r="F81" s="133"/>
      <c r="G81" s="128"/>
      <c r="H81" s="128"/>
      <c r="I81" s="128"/>
      <c r="J81" s="130"/>
      <c r="K81" s="129"/>
      <c r="L81" s="129"/>
    </row>
    <row r="82" spans="1:17" ht="15.75" customHeight="1" thickBot="1" x14ac:dyDescent="0.3">
      <c r="A82" s="64"/>
      <c r="B82" s="64"/>
      <c r="C82" s="186" t="s">
        <v>166</v>
      </c>
      <c r="D82" s="64"/>
      <c r="E82" s="175"/>
      <c r="F82" s="133"/>
      <c r="G82" s="128"/>
      <c r="H82" s="128"/>
      <c r="I82" s="128"/>
      <c r="J82" s="129"/>
      <c r="K82" s="129"/>
      <c r="L82" s="129"/>
    </row>
    <row r="83" spans="1:17" ht="16.5" customHeight="1" thickTop="1" thickBot="1" x14ac:dyDescent="0.3">
      <c r="A83" s="64"/>
      <c r="B83" s="64"/>
      <c r="C83" s="185" t="s">
        <v>165</v>
      </c>
      <c r="D83" s="64"/>
      <c r="E83" s="178" t="str">
        <f>VLOOKUP($C83,TS3L1_DVD,13,FALSE)</f>
        <v/>
      </c>
      <c r="F83" s="199" t="str">
        <f>VLOOKUP($C83,TS3L1_DVD,7,FALSE)</f>
        <v/>
      </c>
      <c r="G83" s="128"/>
      <c r="H83" s="128"/>
      <c r="I83" s="128"/>
      <c r="J83" s="136">
        <f>VLOOKUP($C83,TS3L1_DVD,10,FALSE)</f>
        <v>0</v>
      </c>
      <c r="M83" s="170">
        <f>IF(Q83="",0,1)</f>
        <v>0</v>
      </c>
      <c r="O83" s="136">
        <f>VLOOKUP($C83,TS3L1_DVD,11,FALSE)</f>
        <v>0</v>
      </c>
      <c r="Q83" s="136" t="str">
        <f>VLOOKUP($C83,TS3L1_ALL,12,FALSE)</f>
        <v/>
      </c>
    </row>
    <row r="84" spans="1:17" ht="15.75" thickTop="1" x14ac:dyDescent="0.25">
      <c r="A84" s="64"/>
      <c r="B84" s="64"/>
      <c r="C84" s="177"/>
      <c r="D84" s="64"/>
      <c r="E84" s="175"/>
      <c r="F84" s="133"/>
      <c r="G84" s="128"/>
      <c r="H84" s="128"/>
      <c r="I84" s="128"/>
      <c r="J84" s="130"/>
      <c r="K84" s="129"/>
      <c r="L84" s="129"/>
    </row>
    <row r="85" spans="1:17" ht="15.75" customHeight="1" thickBot="1" x14ac:dyDescent="0.3">
      <c r="A85" s="64"/>
      <c r="B85" s="64"/>
      <c r="C85" s="186" t="s">
        <v>202</v>
      </c>
      <c r="D85" s="204" t="str">
        <f>HYPERLINK("https://convenzioni.converge.it/docs/ts3_datasheet/TS3warranty.pdf","i")</f>
        <v>i</v>
      </c>
      <c r="E85" s="175"/>
      <c r="F85" s="133"/>
      <c r="G85" s="128"/>
      <c r="H85" s="128"/>
      <c r="I85" s="128"/>
      <c r="J85" s="129"/>
      <c r="K85" s="129"/>
      <c r="L85" s="129"/>
    </row>
    <row r="86" spans="1:17" ht="16.5" customHeight="1" thickTop="1" thickBot="1" x14ac:dyDescent="0.25">
      <c r="A86" s="64"/>
      <c r="B86" s="64"/>
      <c r="C86" s="185" t="s">
        <v>181</v>
      </c>
      <c r="D86" s="204"/>
      <c r="E86" s="178" t="str">
        <f>VLOOKUP($C86,TS3L1_WARRANTY,13,FALSE)</f>
        <v>TS3L1-5Y</v>
      </c>
      <c r="F86" s="199">
        <f>VLOOKUP($C86,TS3L1_WARRANTY,7,FALSE)</f>
        <v>1</v>
      </c>
      <c r="G86" s="128"/>
      <c r="H86" s="128"/>
      <c r="I86" s="128"/>
      <c r="J86" s="136">
        <f>VLOOKUP($C86,TS3L1_WARRANTY,10,FALSE)</f>
        <v>79</v>
      </c>
      <c r="K86" s="136">
        <f>VLOOKUP($C86,TS3L1_WARRANTY,11,FALSE)</f>
        <v>0</v>
      </c>
      <c r="L86" s="136" t="str">
        <f>VLOOKUP($C86,TS3L1_ALL,12,FALSE)</f>
        <v>L1N17</v>
      </c>
    </row>
    <row r="87" spans="1:17" ht="15.75" thickTop="1" x14ac:dyDescent="0.25">
      <c r="A87" s="64"/>
      <c r="B87" s="64"/>
      <c r="C87" s="177"/>
      <c r="D87" s="64"/>
      <c r="E87" s="175"/>
      <c r="F87" s="133"/>
      <c r="G87" s="128"/>
      <c r="H87" s="128"/>
      <c r="I87" s="128"/>
      <c r="J87" s="130"/>
      <c r="K87" s="129"/>
      <c r="L87" s="129"/>
    </row>
    <row r="88" spans="1:17" ht="15.75" customHeight="1" thickBot="1" x14ac:dyDescent="0.3">
      <c r="A88" s="134"/>
      <c r="B88" s="64"/>
      <c r="C88" s="186" t="s">
        <v>192</v>
      </c>
      <c r="D88" s="204" t="str">
        <f>HYPERLINK("https://convenzioni.converge.it/docs/ts3_datasheet/DELL_HDD_KYHD.pdf","i")</f>
        <v>i</v>
      </c>
      <c r="E88" s="175"/>
      <c r="F88" s="133"/>
      <c r="G88" s="128"/>
      <c r="H88" s="128"/>
      <c r="I88" s="128"/>
      <c r="J88" s="129"/>
      <c r="K88" s="129"/>
      <c r="L88" s="129"/>
    </row>
    <row r="89" spans="1:17" ht="16.5" customHeight="1" thickTop="1" thickBot="1" x14ac:dyDescent="0.25">
      <c r="A89" s="64"/>
      <c r="B89" s="64"/>
      <c r="C89" s="185" t="s">
        <v>201</v>
      </c>
      <c r="D89" s="204"/>
      <c r="E89" s="178" t="str">
        <f>IFERROR($N$89,VLOOKUP($C89,TS3L1_ALL,13,FALSE))</f>
        <v/>
      </c>
      <c r="F89" s="199" t="str">
        <f>IF(C89="","",1)</f>
        <v/>
      </c>
      <c r="G89" s="128"/>
      <c r="H89" s="128"/>
      <c r="I89" s="128"/>
      <c r="J89" s="136">
        <f>IFERROR($O$89,VLOOKUP($C89,TS3L1_ALL,10,FALSE))</f>
        <v>0</v>
      </c>
      <c r="K89" s="136">
        <f>IFERROR($P$89,VLOOKUP($C89,TS3L1_ALL,11,FALSE))</f>
        <v>0</v>
      </c>
      <c r="L89" s="136" t="str">
        <f>IFERROR($Q$89,VLOOKUP($C89,TS3L1_ALL,12,FALSE))</f>
        <v/>
      </c>
      <c r="N89" s="87" t="e">
        <f>IF($F$86+$F$89=2,VLOOKUP("Hard Disk Retention (60 mesi)",TS3L1_ALL,13,FALSE),VLOOKUP($C89,TS3L1_ALL,13,FALSE))</f>
        <v>#VALUE!</v>
      </c>
      <c r="O89" s="87" t="e">
        <f>IF($F$86+$F$89=2,VLOOKUP("Hard Disk Retention (60 mesi)",TS3L1_ALL,10,FALSE),VLOOKUP($C89,TS3L1_ALL,10,FALSE))</f>
        <v>#VALUE!</v>
      </c>
      <c r="P89" s="87" t="e">
        <f>IF($F$86+$F$89=2,VLOOKUP("Hard Disk Retention (60 mesi)",TS3L1_ALL,11,FALSE),VLOOKUP($C89,TS3L1_ALL,11,FALSE))</f>
        <v>#VALUE!</v>
      </c>
      <c r="Q89" s="87" t="e">
        <f>IF($F$86+$F$89=2,VLOOKUP("Hard Disk Retention (60 mesi)",TS3L1_ALL,12,FALSE),VLOOKUP($C89,TS3L1_ALL,12,FALSE))</f>
        <v>#VALUE!</v>
      </c>
    </row>
    <row r="90" spans="1:17" ht="16.5" thickTop="1" thickBot="1" x14ac:dyDescent="0.3">
      <c r="A90" s="64"/>
      <c r="B90" s="64"/>
      <c r="C90" s="181"/>
      <c r="D90" s="64"/>
      <c r="E90" s="175"/>
      <c r="F90" s="175"/>
      <c r="G90" s="129"/>
      <c r="H90" s="128"/>
      <c r="I90" s="128"/>
      <c r="J90" s="130"/>
      <c r="K90" s="129"/>
      <c r="L90" s="129"/>
    </row>
    <row r="91" spans="1:17" ht="15.75" customHeight="1" thickTop="1" x14ac:dyDescent="0.25">
      <c r="A91" s="138"/>
      <c r="B91" s="138"/>
      <c r="C91" s="195"/>
      <c r="D91" s="138"/>
      <c r="E91" s="180"/>
      <c r="F91" s="180"/>
      <c r="G91" s="139"/>
      <c r="H91" s="139"/>
      <c r="I91" s="139"/>
      <c r="J91" s="140"/>
      <c r="K91" s="139"/>
      <c r="L91" s="115"/>
    </row>
    <row r="92" spans="1:17" ht="15.75" customHeight="1" thickBot="1" x14ac:dyDescent="0.3">
      <c r="A92" s="129"/>
      <c r="B92" s="129"/>
      <c r="C92" s="186" t="s">
        <v>207</v>
      </c>
      <c r="D92" s="204" t="str">
        <f>HYPERLINK("https://convenzioni.converge.it/docs/ts3_datasheet/RPMM_UPS.pdf","i")</f>
        <v>i</v>
      </c>
      <c r="E92" s="175"/>
      <c r="F92" s="133"/>
      <c r="G92" s="128"/>
      <c r="H92" s="128"/>
      <c r="I92" s="128"/>
      <c r="J92" s="129"/>
      <c r="K92" s="129"/>
      <c r="L92" s="129"/>
    </row>
    <row r="93" spans="1:17" ht="16.5" customHeight="1" thickTop="1" thickBot="1" x14ac:dyDescent="0.25">
      <c r="A93" s="64"/>
      <c r="B93" s="64"/>
      <c r="C93" s="185" t="s">
        <v>212</v>
      </c>
      <c r="D93" s="204"/>
      <c r="E93" s="178" t="str">
        <f>VLOOKUP($C93,TS3L1_UPS,13,FALSE)</f>
        <v>TS3L1-UPS</v>
      </c>
      <c r="F93" s="199">
        <f>VLOOKUP($C93,TS3L1_UPS,7,FALSE)</f>
        <v>1</v>
      </c>
      <c r="G93" s="128"/>
      <c r="H93" s="128"/>
      <c r="I93" s="128"/>
      <c r="J93" s="136">
        <f>VLOOKUP($C93,TS3L1_UPS,10,FALSE)</f>
        <v>302</v>
      </c>
      <c r="K93" s="136">
        <f>VLOOKUP($C93,TS3L1_UPS,11,FALSE)</f>
        <v>0</v>
      </c>
      <c r="L93" s="136" t="str">
        <f>VLOOKUP($C93,TS3L1_ALL,12,FALSE)</f>
        <v>L1N10</v>
      </c>
    </row>
    <row r="94" spans="1:17" ht="15.75" customHeight="1" thickTop="1" x14ac:dyDescent="0.25">
      <c r="A94" s="64"/>
      <c r="B94" s="64"/>
      <c r="C94" s="181"/>
      <c r="D94" s="64"/>
      <c r="E94" s="175"/>
      <c r="F94" s="175"/>
      <c r="G94" s="128"/>
      <c r="H94" s="129"/>
      <c r="J94" s="130"/>
      <c r="K94" s="129"/>
      <c r="L94" s="129"/>
    </row>
    <row r="95" spans="1:17" ht="15.75" customHeight="1" thickBot="1" x14ac:dyDescent="0.3">
      <c r="A95" s="64"/>
      <c r="B95" s="134"/>
      <c r="C95" s="186" t="s">
        <v>218</v>
      </c>
      <c r="D95" s="204" t="str">
        <f>HYPERLINK("https://convenzioni.converge.it/docs/ts3_datasheet/Dell_E1916H.pdf","i")</f>
        <v>i</v>
      </c>
      <c r="E95" s="175"/>
      <c r="F95" s="133"/>
      <c r="G95" s="128"/>
      <c r="H95" s="128"/>
      <c r="I95" s="128"/>
      <c r="J95" s="129"/>
      <c r="K95" s="129"/>
      <c r="L95" s="129"/>
    </row>
    <row r="96" spans="1:17" ht="16.5" customHeight="1" thickTop="1" thickBot="1" x14ac:dyDescent="0.25">
      <c r="A96" s="64"/>
      <c r="B96" s="64"/>
      <c r="C96" s="185" t="s">
        <v>201</v>
      </c>
      <c r="D96" s="204"/>
      <c r="E96" s="178" t="str">
        <f>VLOOKUP($C96,TS3L1_GUI,13,FALSE)</f>
        <v/>
      </c>
      <c r="F96" s="199" t="str">
        <f>VLOOKUP($C96,TS3L1_GUI,7,FALSE)</f>
        <v/>
      </c>
      <c r="G96" s="128"/>
      <c r="H96" s="128"/>
      <c r="I96" s="128"/>
      <c r="J96" s="136">
        <f>VLOOKUP($C96,TS3L1_GUI,10,FALSE)</f>
        <v>0</v>
      </c>
      <c r="K96" s="136">
        <f>VLOOKUP($C96,TS3L1_GUI,11,FALSE)</f>
        <v>0</v>
      </c>
      <c r="L96" s="136" t="str">
        <f>VLOOKUP($C96,TS3L1_ALL,12,FALSE)</f>
        <v/>
      </c>
    </row>
    <row r="97" spans="1:12" ht="15.75" thickTop="1" x14ac:dyDescent="0.25">
      <c r="A97" s="64"/>
      <c r="B97" s="64"/>
      <c r="C97" s="181"/>
      <c r="D97" s="64"/>
      <c r="E97" s="175"/>
      <c r="F97" s="175"/>
      <c r="G97" s="128"/>
      <c r="H97" s="129"/>
      <c r="J97" s="130"/>
      <c r="K97" s="129"/>
      <c r="L97" s="129"/>
    </row>
  </sheetData>
  <sheetProtection algorithmName="SHA-512" hashValue="PZ3onCF/1XDiPKIaZpmaFpVsNPig69kiQxM9nsNlN49J7icsG+lqCD9bXT/LGPKLAETV1FpQUJ/U2yKUGuDXIA==" saltValue="BFuTqpRnWzSJDtZu6dfEYQ==" spinCount="100000" sheet="1" objects="1" scenarios="1"/>
  <mergeCells count="10">
    <mergeCell ref="H27:H38"/>
    <mergeCell ref="D7:D8"/>
    <mergeCell ref="D10:D11"/>
    <mergeCell ref="D16:D17"/>
    <mergeCell ref="D25:D26"/>
    <mergeCell ref="D43:D44"/>
    <mergeCell ref="D85:D86"/>
    <mergeCell ref="D88:D89"/>
    <mergeCell ref="D92:D93"/>
    <mergeCell ref="D95:D96"/>
  </mergeCells>
  <conditionalFormatting sqref="E41:F41">
    <cfRule type="expression" dxfId="161" priority="87">
      <formula>$K41&gt;0</formula>
    </cfRule>
  </conditionalFormatting>
  <conditionalFormatting sqref="C50">
    <cfRule type="expression" dxfId="160" priority="86">
      <formula>$K50&gt;0</formula>
    </cfRule>
  </conditionalFormatting>
  <conditionalFormatting sqref="E50:F50">
    <cfRule type="expression" dxfId="159" priority="85">
      <formula>$K50&gt;0</formula>
    </cfRule>
  </conditionalFormatting>
  <conditionalFormatting sqref="E53:F53">
    <cfRule type="expression" dxfId="158" priority="83">
      <formula>$K53&gt;0</formula>
    </cfRule>
  </conditionalFormatting>
  <conditionalFormatting sqref="C56">
    <cfRule type="expression" dxfId="157" priority="82">
      <formula>$K56&gt;0</formula>
    </cfRule>
  </conditionalFormatting>
  <conditionalFormatting sqref="E56:F56">
    <cfRule type="expression" dxfId="156" priority="81">
      <formula>$K56&gt;0</formula>
    </cfRule>
  </conditionalFormatting>
  <conditionalFormatting sqref="E59:F59">
    <cfRule type="expression" dxfId="155" priority="79">
      <formula>$K59&gt;0</formula>
    </cfRule>
  </conditionalFormatting>
  <conditionalFormatting sqref="E80:F80">
    <cfRule type="expression" dxfId="154" priority="77">
      <formula>$K80&gt;0</formula>
    </cfRule>
  </conditionalFormatting>
  <conditionalFormatting sqref="E83:F83">
    <cfRule type="expression" dxfId="153" priority="75">
      <formula>$K83&gt;0</formula>
    </cfRule>
  </conditionalFormatting>
  <conditionalFormatting sqref="C86">
    <cfRule type="expression" dxfId="152" priority="74">
      <formula>$K86&gt;0</formula>
    </cfRule>
  </conditionalFormatting>
  <conditionalFormatting sqref="E86:F86">
    <cfRule type="expression" dxfId="151" priority="73">
      <formula>$K86&gt;0</formula>
    </cfRule>
  </conditionalFormatting>
  <conditionalFormatting sqref="C89">
    <cfRule type="expression" dxfId="150" priority="72">
      <formula>$K89&gt;0</formula>
    </cfRule>
  </conditionalFormatting>
  <conditionalFormatting sqref="C38">
    <cfRule type="expression" dxfId="149" priority="70">
      <formula>$K38&gt;0</formula>
    </cfRule>
  </conditionalFormatting>
  <conditionalFormatting sqref="E38:F38">
    <cfRule type="expression" dxfId="148" priority="69">
      <formula>$K38&gt;0</formula>
    </cfRule>
  </conditionalFormatting>
  <conditionalFormatting sqref="C35">
    <cfRule type="expression" dxfId="147" priority="68">
      <formula>$K35&gt;0</formula>
    </cfRule>
  </conditionalFormatting>
  <conditionalFormatting sqref="E35:F35">
    <cfRule type="expression" dxfId="146" priority="67">
      <formula>$K35&gt;0</formula>
    </cfRule>
  </conditionalFormatting>
  <conditionalFormatting sqref="C32">
    <cfRule type="expression" dxfId="145" priority="66">
      <formula>$K32&gt;0</formula>
    </cfRule>
  </conditionalFormatting>
  <conditionalFormatting sqref="E32:F32">
    <cfRule type="expression" dxfId="144" priority="65">
      <formula>$K32&gt;0</formula>
    </cfRule>
  </conditionalFormatting>
  <conditionalFormatting sqref="C29">
    <cfRule type="expression" dxfId="143" priority="64">
      <formula>$K29&gt;0</formula>
    </cfRule>
  </conditionalFormatting>
  <conditionalFormatting sqref="E29:F29">
    <cfRule type="expression" dxfId="142" priority="63">
      <formula>$K29&gt;0</formula>
    </cfRule>
  </conditionalFormatting>
  <conditionalFormatting sqref="C23">
    <cfRule type="expression" dxfId="141" priority="62">
      <formula>$K23&gt;0</formula>
    </cfRule>
  </conditionalFormatting>
  <conditionalFormatting sqref="E23:F23">
    <cfRule type="expression" dxfId="140" priority="61">
      <formula>$K23&gt;0</formula>
    </cfRule>
  </conditionalFormatting>
  <conditionalFormatting sqref="C20">
    <cfRule type="expression" dxfId="139" priority="60">
      <formula>$K20&gt;0</formula>
    </cfRule>
  </conditionalFormatting>
  <conditionalFormatting sqref="E20:F20">
    <cfRule type="expression" dxfId="138" priority="59">
      <formula>$K20&gt;0</formula>
    </cfRule>
  </conditionalFormatting>
  <conditionalFormatting sqref="C93">
    <cfRule type="expression" dxfId="137" priority="58">
      <formula>$K93&gt;0</formula>
    </cfRule>
  </conditionalFormatting>
  <conditionalFormatting sqref="E96:F96">
    <cfRule type="expression" dxfId="136" priority="54">
      <formula>$K96&gt;0</formula>
    </cfRule>
  </conditionalFormatting>
  <conditionalFormatting sqref="E93:F93">
    <cfRule type="expression" dxfId="135" priority="56">
      <formula>$K93&gt;0</formula>
    </cfRule>
  </conditionalFormatting>
  <conditionalFormatting sqref="C96">
    <cfRule type="expression" dxfId="134" priority="55">
      <formula>$K96&gt;0</formula>
    </cfRule>
  </conditionalFormatting>
  <conditionalFormatting sqref="C70">
    <cfRule type="expression" dxfId="133" priority="52">
      <formula>$K70&gt;0</formula>
    </cfRule>
  </conditionalFormatting>
  <conditionalFormatting sqref="F20">
    <cfRule type="expression" dxfId="132" priority="51">
      <formula>$F$20=0</formula>
    </cfRule>
  </conditionalFormatting>
  <conditionalFormatting sqref="C65">
    <cfRule type="expression" dxfId="131" priority="47">
      <formula>$K65&gt;0</formula>
    </cfRule>
  </conditionalFormatting>
  <conditionalFormatting sqref="C62">
    <cfRule type="expression" dxfId="130" priority="49">
      <formula>$K62&gt;0</formula>
    </cfRule>
  </conditionalFormatting>
  <conditionalFormatting sqref="C66">
    <cfRule type="expression" dxfId="129" priority="34">
      <formula>$K66&gt;0</formula>
    </cfRule>
  </conditionalFormatting>
  <conditionalFormatting sqref="C74:C76">
    <cfRule type="expression" dxfId="128" priority="23">
      <formula>$K74&gt;0</formula>
    </cfRule>
  </conditionalFormatting>
  <conditionalFormatting sqref="C66">
    <cfRule type="expression" dxfId="127" priority="33">
      <formula>$K66&gt;0</formula>
    </cfRule>
  </conditionalFormatting>
  <conditionalFormatting sqref="C67">
    <cfRule type="expression" dxfId="126" priority="31">
      <formula>$K67&gt;0</formula>
    </cfRule>
  </conditionalFormatting>
  <conditionalFormatting sqref="C73">
    <cfRule type="expression" dxfId="125" priority="29">
      <formula>$K73&gt;0</formula>
    </cfRule>
  </conditionalFormatting>
  <conditionalFormatting sqref="C65">
    <cfRule type="expression" dxfId="124" priority="39">
      <formula>$K65&gt;0</formula>
    </cfRule>
  </conditionalFormatting>
  <conditionalFormatting sqref="C74:C76">
    <cfRule type="expression" dxfId="123" priority="24">
      <formula>$K74&gt;0</formula>
    </cfRule>
  </conditionalFormatting>
  <conditionalFormatting sqref="C67">
    <cfRule type="expression" dxfId="122" priority="32">
      <formula>$K67&gt;0</formula>
    </cfRule>
  </conditionalFormatting>
  <conditionalFormatting sqref="C77">
    <cfRule type="expression" dxfId="121" priority="18">
      <formula>$K77&gt;0</formula>
    </cfRule>
  </conditionalFormatting>
  <conditionalFormatting sqref="C77">
    <cfRule type="expression" dxfId="120" priority="17">
      <formula>$K77&gt;0</formula>
    </cfRule>
  </conditionalFormatting>
  <conditionalFormatting sqref="C73">
    <cfRule type="expression" dxfId="119" priority="27">
      <formula>$K73&gt;0</formula>
    </cfRule>
  </conditionalFormatting>
  <conditionalFormatting sqref="E74:E77">
    <cfRule type="expression" dxfId="118" priority="9">
      <formula>$K74&gt;0</formula>
    </cfRule>
  </conditionalFormatting>
  <conditionalFormatting sqref="E65:E67">
    <cfRule type="expression" dxfId="117" priority="8">
      <formula>$K65&gt;0</formula>
    </cfRule>
  </conditionalFormatting>
  <conditionalFormatting sqref="E70">
    <cfRule type="expression" dxfId="116" priority="7">
      <formula>$K70&gt;0</formula>
    </cfRule>
  </conditionalFormatting>
  <conditionalFormatting sqref="E73">
    <cfRule type="expression" dxfId="115" priority="10">
      <formula>$K73&gt;0</formula>
    </cfRule>
  </conditionalFormatting>
  <conditionalFormatting sqref="E62">
    <cfRule type="expression" dxfId="114" priority="6">
      <formula>$K62&gt;0</formula>
    </cfRule>
  </conditionalFormatting>
  <conditionalFormatting sqref="C59">
    <cfRule type="expression" dxfId="113" priority="5">
      <formula>$K59&gt;0</formula>
    </cfRule>
  </conditionalFormatting>
  <conditionalFormatting sqref="C53">
    <cfRule type="expression" dxfId="112" priority="4">
      <formula>$K53&gt;0</formula>
    </cfRule>
  </conditionalFormatting>
  <conditionalFormatting sqref="C80">
    <cfRule type="expression" dxfId="111" priority="3">
      <formula>$M80&gt;0</formula>
    </cfRule>
  </conditionalFormatting>
  <conditionalFormatting sqref="C83">
    <cfRule type="expression" dxfId="110" priority="2">
      <formula>$M83&gt;0</formula>
    </cfRule>
  </conditionalFormatting>
  <conditionalFormatting sqref="C41">
    <cfRule type="expression" dxfId="109" priority="1">
      <formula>$M41&gt;0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ErrorMessage="1" xr:uid="{00000000-0002-0000-0000-000000000000}">
          <x14:formula1>
            <xm:f>ConfigurationTS3L1!$A$7:$A$10</xm:f>
          </x14:formula1>
          <xm:sqref>C20</xm:sqref>
        </x14:dataValidation>
        <x14:dataValidation type="list" allowBlank="1" showErrorMessage="1" xr:uid="{00000000-0002-0000-0000-000001000000}">
          <x14:formula1>
            <xm:f>ConfigurationTS3L1!$A$13:$A$15</xm:f>
          </x14:formula1>
          <xm:sqref>C23</xm:sqref>
        </x14:dataValidation>
        <x14:dataValidation type="list" allowBlank="1" showErrorMessage="1" xr:uid="{00000000-0002-0000-0000-000002000000}">
          <x14:formula1>
            <xm:f>ConfigurationTS3L1!$A$18:$A$24</xm:f>
          </x14:formula1>
          <xm:sqref>C29 C32 C35 C38</xm:sqref>
        </x14:dataValidation>
        <x14:dataValidation type="list" allowBlank="1" showErrorMessage="1" xr:uid="{00000000-0002-0000-0000-000003000000}">
          <x14:formula1>
            <xm:f>ConfigurationTS3L1!$A$27:$A$29</xm:f>
          </x14:formula1>
          <xm:sqref>C41</xm:sqref>
        </x14:dataValidation>
        <x14:dataValidation type="list" allowBlank="1" showErrorMessage="1" xr:uid="{00000000-0002-0000-0000-000004000000}">
          <x14:formula1>
            <xm:f>ConfigurationTS3L1!$A$47:$A$48</xm:f>
          </x14:formula1>
          <xm:sqref>C56 C59 C53</xm:sqref>
        </x14:dataValidation>
        <x14:dataValidation type="list" allowBlank="1" showErrorMessage="1" xr:uid="{00000000-0002-0000-0000-000005000000}">
          <x14:formula1>
            <xm:f>ConfigurationTS3L1!$A$62:$A$64</xm:f>
          </x14:formula1>
          <xm:sqref>C80</xm:sqref>
        </x14:dataValidation>
        <x14:dataValidation type="list" allowBlank="1" showErrorMessage="1" xr:uid="{00000000-0002-0000-0000-000006000000}">
          <x14:formula1>
            <xm:f>ConfigurationTS3L1!$A$67:$A$69</xm:f>
          </x14:formula1>
          <xm:sqref>C83</xm:sqref>
        </x14:dataValidation>
        <x14:dataValidation type="list" allowBlank="1" showErrorMessage="1" xr:uid="{00000000-0002-0000-0000-000007000000}">
          <x14:formula1>
            <xm:f>ConfigurationTS3L1!$A$72:$A$73</xm:f>
          </x14:formula1>
          <xm:sqref>C86</xm:sqref>
        </x14:dataValidation>
        <x14:dataValidation type="list" allowBlank="1" showErrorMessage="1" xr:uid="{00000000-0002-0000-0000-000008000000}">
          <x14:formula1>
            <xm:f>ConfigurationTS3L1!$A$76:$A$77</xm:f>
          </x14:formula1>
          <xm:sqref>C89</xm:sqref>
        </x14:dataValidation>
        <x14:dataValidation type="list" allowBlank="1" showErrorMessage="1" xr:uid="{00000000-0002-0000-0000-000009000000}">
          <x14:formula1>
            <xm:f>ConfigurationTS3L1!$A$81:$A$82</xm:f>
          </x14:formula1>
          <xm:sqref>C93</xm:sqref>
        </x14:dataValidation>
        <x14:dataValidation type="list" allowBlank="1" showErrorMessage="1" prompt="Kit Graphical User Interface (GUI), costituito da un monitor da tavolo TFT 17”, con risoluzione di 1024x768, intervallo di frequenze orizzontali di almeno 30KHz-60KHz, da una tastiera e da un dispositivo di puntamento (mouse)." xr:uid="{00000000-0002-0000-0000-00000A000000}">
          <x14:formula1>
            <xm:f>ConfigurationTS3L1!$A$85:$A$86</xm:f>
          </x14:formula1>
          <xm:sqref>C96</xm:sqref>
        </x14:dataValidation>
        <x14:dataValidation type="list" allowBlank="1" showErrorMessage="1" xr:uid="{00000000-0002-0000-0000-00000B000000}">
          <x14:formula1>
            <xm:f>ConfigurationTS3L1!$A$32:$A$32</xm:f>
          </x14:formula1>
          <xm:sqref>C50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theme="8" tint="0.39997558519241921"/>
  </sheetPr>
  <dimension ref="A1:Q97"/>
  <sheetViews>
    <sheetView workbookViewId="0">
      <pane ySplit="5" topLeftCell="A6" activePane="bottomLeft" state="frozen"/>
      <selection pane="bottomLeft" activeCell="F5" sqref="F5"/>
    </sheetView>
  </sheetViews>
  <sheetFormatPr defaultColWidth="0" defaultRowHeight="0" customHeight="1" zeroHeight="1" x14ac:dyDescent="0.25"/>
  <cols>
    <col min="1" max="2" width="4.5703125" style="87" customWidth="1"/>
    <col min="3" max="3" width="72.7109375" style="183" customWidth="1"/>
    <col min="4" max="4" width="10.7109375" style="87" customWidth="1"/>
    <col min="5" max="5" width="17.42578125" style="177" customWidth="1"/>
    <col min="6" max="6" width="17.140625" style="177" customWidth="1"/>
    <col min="7" max="7" width="3.5703125" style="134" customWidth="1"/>
    <col min="8" max="8" width="36" style="134" customWidth="1"/>
    <col min="9" max="9" width="0.42578125" style="134" customWidth="1"/>
    <col min="10" max="10" width="14" style="141" hidden="1" customWidth="1"/>
    <col min="11" max="12" width="9.140625" style="134" hidden="1" customWidth="1"/>
    <col min="13" max="16384" width="9.140625" style="87" hidden="1"/>
  </cols>
  <sheetData>
    <row r="1" spans="1:12" ht="15" x14ac:dyDescent="0.25">
      <c r="A1" s="64"/>
      <c r="B1" s="64"/>
      <c r="C1" s="181"/>
      <c r="D1" s="64"/>
      <c r="E1" s="172" t="s">
        <v>198</v>
      </c>
      <c r="F1" s="196">
        <f>SUM(J8:J96)*F5</f>
        <v>0</v>
      </c>
      <c r="G1" s="128"/>
      <c r="H1" s="129"/>
      <c r="I1" s="129"/>
      <c r="J1" s="130"/>
      <c r="K1" s="129"/>
      <c r="L1" s="129"/>
    </row>
    <row r="2" spans="1:12" ht="15" x14ac:dyDescent="0.25">
      <c r="A2" s="64"/>
      <c r="B2" s="64"/>
      <c r="C2" s="181"/>
      <c r="D2" s="64"/>
      <c r="E2" s="173">
        <v>0.2</v>
      </c>
      <c r="F2" s="197">
        <f>SUM(K8:K96)*F5</f>
        <v>0</v>
      </c>
      <c r="G2" s="128"/>
      <c r="H2" s="129"/>
      <c r="I2" s="129"/>
      <c r="J2" s="130"/>
      <c r="K2" s="129"/>
      <c r="L2" s="129"/>
    </row>
    <row r="3" spans="1:12" ht="15" x14ac:dyDescent="0.25">
      <c r="A3" s="64"/>
      <c r="B3" s="64"/>
      <c r="C3" s="181"/>
      <c r="D3" s="64"/>
      <c r="E3" s="174" t="s">
        <v>199</v>
      </c>
      <c r="F3" s="198">
        <f>SUM(F1:F2)</f>
        <v>0</v>
      </c>
      <c r="G3" s="128"/>
      <c r="H3" s="129"/>
      <c r="I3" s="129"/>
      <c r="J3" s="130"/>
      <c r="K3" s="129"/>
      <c r="L3" s="129"/>
    </row>
    <row r="4" spans="1:12" ht="15.75" thickBot="1" x14ac:dyDescent="0.3">
      <c r="A4" s="64"/>
      <c r="B4" s="64"/>
      <c r="C4" s="181"/>
      <c r="D4" s="64"/>
      <c r="E4" s="175"/>
      <c r="F4" s="175"/>
      <c r="G4" s="128"/>
      <c r="H4" s="129"/>
      <c r="I4" s="129"/>
      <c r="J4" s="130"/>
      <c r="K4" s="129"/>
      <c r="L4" s="129"/>
    </row>
    <row r="5" spans="1:12" ht="31.5" thickTop="1" thickBot="1" x14ac:dyDescent="0.3">
      <c r="A5" s="64"/>
      <c r="B5" s="64"/>
      <c r="C5" s="182" t="s">
        <v>399</v>
      </c>
      <c r="D5" s="202" t="str">
        <f>HYPERLINK("https://convenzioni.converge.it/docs/L1GuidaAllaConvenzioneTecnologieServer3.pdf","&amp;")</f>
        <v>&amp;</v>
      </c>
      <c r="E5" s="131" t="s">
        <v>200</v>
      </c>
      <c r="F5" s="157"/>
      <c r="G5" s="128"/>
      <c r="H5" s="132" t="str">
        <f>Riepilogo!G8</f>
        <v>Version 2.6</v>
      </c>
      <c r="I5" s="132"/>
      <c r="J5" s="130"/>
      <c r="K5" s="129"/>
      <c r="L5" s="129"/>
    </row>
    <row r="6" spans="1:12" ht="15.75" thickTop="1" x14ac:dyDescent="0.25">
      <c r="A6" s="64"/>
      <c r="B6" s="64"/>
      <c r="D6" s="64"/>
      <c r="E6" s="175"/>
      <c r="F6" s="133"/>
      <c r="G6" s="128"/>
      <c r="H6" s="129"/>
      <c r="I6" s="129"/>
      <c r="J6" s="130"/>
      <c r="K6" s="129"/>
      <c r="L6" s="129"/>
    </row>
    <row r="7" spans="1:12" ht="15.75" customHeight="1" x14ac:dyDescent="0.25">
      <c r="A7" s="134"/>
      <c r="B7" s="64"/>
      <c r="C7" s="172" t="s">
        <v>0</v>
      </c>
      <c r="D7" s="204" t="str">
        <f>HYPERLINK("https://convenzioni.converge.it/docs/ts3_datasheet/dell-emc-poweredge-t340-spec-sheet.pdf","i")</f>
        <v>i</v>
      </c>
      <c r="E7" s="175"/>
      <c r="F7" s="175"/>
      <c r="G7" s="128"/>
      <c r="H7" s="128"/>
      <c r="I7" s="128"/>
      <c r="J7" s="129"/>
      <c r="K7" s="129"/>
      <c r="L7" s="129"/>
    </row>
    <row r="8" spans="1:12" ht="16.5" customHeight="1" x14ac:dyDescent="0.25">
      <c r="A8" s="64"/>
      <c r="B8" s="64"/>
      <c r="C8" s="178" t="s">
        <v>1</v>
      </c>
      <c r="D8" s="204"/>
      <c r="E8" s="176" t="str">
        <f>IF($F$5&gt;0,"TS3L1-SRV","")</f>
        <v/>
      </c>
      <c r="F8" s="135" t="str">
        <f>IF($F$5&gt;0,1,"")</f>
        <v/>
      </c>
      <c r="G8" s="128"/>
      <c r="H8" s="128"/>
      <c r="I8" s="128"/>
      <c r="J8" s="136">
        <v>1399</v>
      </c>
      <c r="K8" s="129"/>
      <c r="L8" s="136" t="str">
        <f>VLOOKUP($C8,TS3L1_ALL,12,FALSE)</f>
        <v>L1N01</v>
      </c>
    </row>
    <row r="9" spans="1:12" ht="15" x14ac:dyDescent="0.25">
      <c r="A9" s="64"/>
      <c r="B9" s="64"/>
      <c r="C9" s="175"/>
      <c r="D9" s="64"/>
      <c r="E9" s="175"/>
      <c r="F9" s="133"/>
      <c r="G9" s="128"/>
      <c r="H9" s="128"/>
      <c r="I9" s="128"/>
      <c r="J9" s="130"/>
      <c r="K9" s="129"/>
      <c r="L9" s="129"/>
    </row>
    <row r="10" spans="1:12" ht="15.75" customHeight="1" x14ac:dyDescent="0.25">
      <c r="A10" s="64"/>
      <c r="B10" s="64"/>
      <c r="C10" s="172" t="s">
        <v>2</v>
      </c>
      <c r="D10" s="204" t="str">
        <f>HYPERLINK("https://dellservervr.dell.com/poweredge-t340/","i")</f>
        <v>i</v>
      </c>
      <c r="E10" s="175"/>
      <c r="F10" s="133"/>
      <c r="G10" s="128"/>
      <c r="H10" s="128"/>
      <c r="I10" s="128"/>
      <c r="J10" s="130"/>
      <c r="K10" s="129"/>
      <c r="L10" s="129"/>
    </row>
    <row r="11" spans="1:12" ht="16.5" customHeight="1" x14ac:dyDescent="0.25">
      <c r="A11" s="64"/>
      <c r="B11" s="64"/>
      <c r="C11" s="178" t="s">
        <v>3</v>
      </c>
      <c r="D11" s="204"/>
      <c r="F11" s="133"/>
      <c r="G11" s="128"/>
      <c r="H11" s="128"/>
      <c r="I11" s="128"/>
      <c r="J11" s="130"/>
      <c r="K11" s="129"/>
      <c r="L11" s="129"/>
    </row>
    <row r="12" spans="1:12" ht="15" x14ac:dyDescent="0.25">
      <c r="A12" s="64"/>
      <c r="B12" s="64"/>
      <c r="C12" s="175"/>
      <c r="D12" s="64"/>
      <c r="E12" s="175"/>
      <c r="F12" s="133"/>
      <c r="G12" s="128"/>
      <c r="H12" s="128"/>
      <c r="I12" s="128"/>
      <c r="J12" s="130"/>
      <c r="K12" s="129"/>
      <c r="L12" s="129"/>
    </row>
    <row r="13" spans="1:12" ht="15.75" customHeight="1" x14ac:dyDescent="0.25">
      <c r="A13" s="64"/>
      <c r="B13" s="64"/>
      <c r="C13" s="172" t="s">
        <v>4</v>
      </c>
      <c r="D13" s="64"/>
      <c r="F13" s="133"/>
      <c r="G13" s="128"/>
      <c r="H13" s="128"/>
      <c r="I13" s="128"/>
      <c r="J13" s="130"/>
      <c r="K13" s="129"/>
      <c r="L13" s="129"/>
    </row>
    <row r="14" spans="1:12" ht="16.5" customHeight="1" x14ac:dyDescent="0.25">
      <c r="A14" s="64"/>
      <c r="B14" s="64"/>
      <c r="C14" s="178" t="s">
        <v>5</v>
      </c>
      <c r="D14" s="64"/>
      <c r="E14" s="175"/>
      <c r="F14" s="133"/>
      <c r="G14" s="128"/>
      <c r="H14" s="128"/>
      <c r="I14" s="128"/>
      <c r="J14" s="130"/>
      <c r="K14" s="129"/>
      <c r="L14" s="129"/>
    </row>
    <row r="15" spans="1:12" ht="15" x14ac:dyDescent="0.25">
      <c r="A15" s="64"/>
      <c r="B15" s="64"/>
      <c r="C15" s="175"/>
      <c r="D15" s="64"/>
      <c r="E15" s="175"/>
      <c r="F15" s="133"/>
      <c r="G15" s="128"/>
      <c r="H15" s="128"/>
      <c r="I15" s="128"/>
      <c r="J15" s="130"/>
      <c r="K15" s="129"/>
      <c r="L15" s="129"/>
    </row>
    <row r="16" spans="1:12" ht="15.75" customHeight="1" x14ac:dyDescent="0.25">
      <c r="A16" s="64"/>
      <c r="B16" s="64"/>
      <c r="C16" s="172" t="s">
        <v>6</v>
      </c>
      <c r="D16" s="204" t="str">
        <f>HYPERLINK("https://ark.intel.com/content/www/it/it/ark/products/191040/intel-xeon-e-2236-processor-12m-cache-3-40-ghz.html","i")</f>
        <v>i</v>
      </c>
      <c r="E16" s="175"/>
      <c r="F16" s="133"/>
      <c r="G16" s="128"/>
      <c r="H16" s="128"/>
      <c r="I16" s="128"/>
      <c r="J16" s="130"/>
      <c r="K16" s="129"/>
      <c r="L16" s="129"/>
    </row>
    <row r="17" spans="1:12" ht="16.5" customHeight="1" x14ac:dyDescent="0.25">
      <c r="A17" s="64"/>
      <c r="B17" s="64"/>
      <c r="C17" s="178" t="s">
        <v>7</v>
      </c>
      <c r="D17" s="204"/>
      <c r="E17" s="175"/>
      <c r="F17" s="133"/>
      <c r="G17" s="128"/>
      <c r="H17" s="128"/>
      <c r="I17" s="128"/>
      <c r="J17" s="130"/>
      <c r="K17" s="129"/>
      <c r="L17" s="129"/>
    </row>
    <row r="18" spans="1:12" ht="15" x14ac:dyDescent="0.25">
      <c r="A18" s="64"/>
      <c r="B18" s="64"/>
      <c r="C18" s="175"/>
      <c r="D18" s="64"/>
      <c r="E18" s="175"/>
      <c r="F18" s="133"/>
      <c r="G18" s="128"/>
      <c r="H18" s="128"/>
      <c r="I18" s="128"/>
      <c r="J18" s="130"/>
      <c r="K18" s="129"/>
      <c r="L18" s="129"/>
    </row>
    <row r="19" spans="1:12" ht="15.75" customHeight="1" thickBot="1" x14ac:dyDescent="0.3">
      <c r="A19" s="64"/>
      <c r="B19" s="64"/>
      <c r="C19" s="184" t="s">
        <v>8</v>
      </c>
      <c r="D19" s="64"/>
      <c r="E19" s="175"/>
      <c r="F19" s="175"/>
      <c r="G19" s="128"/>
      <c r="H19" s="128"/>
      <c r="I19" s="128"/>
      <c r="J19" s="129"/>
      <c r="K19" s="129"/>
      <c r="L19" s="129"/>
    </row>
    <row r="20" spans="1:12" ht="16.5" customHeight="1" thickTop="1" thickBot="1" x14ac:dyDescent="0.3">
      <c r="A20" s="64"/>
      <c r="B20" s="64"/>
      <c r="C20" s="185" t="s">
        <v>32</v>
      </c>
      <c r="D20" s="64"/>
      <c r="E20" s="178" t="str">
        <f>VLOOKUP($C$20,TS3L1_RAM,13,FALSE)</f>
        <v/>
      </c>
      <c r="F20" s="199">
        <f>VLOOKUP($C$20,TS3L1_RAM,7,FALSE)</f>
        <v>0</v>
      </c>
      <c r="G20" s="128"/>
      <c r="H20" s="128"/>
      <c r="I20" s="128"/>
      <c r="J20" s="136">
        <f>VLOOKUP($C$20,TS3L1_RAM,10,FALSE)</f>
        <v>0</v>
      </c>
      <c r="K20" s="129"/>
      <c r="L20" s="136" t="str">
        <f>VLOOKUP($C20,TS3L1_ALL,12,FALSE)</f>
        <v/>
      </c>
    </row>
    <row r="21" spans="1:12" ht="15.75" thickTop="1" x14ac:dyDescent="0.25">
      <c r="A21" s="64"/>
      <c r="B21" s="64"/>
      <c r="D21" s="64"/>
      <c r="E21" s="175"/>
      <c r="F21" s="133"/>
      <c r="G21" s="128"/>
      <c r="H21" s="128"/>
      <c r="I21" s="128"/>
      <c r="J21" s="130"/>
      <c r="K21" s="129"/>
      <c r="L21" s="129"/>
    </row>
    <row r="22" spans="1:12" ht="15.75" customHeight="1" thickBot="1" x14ac:dyDescent="0.3">
      <c r="A22" s="64"/>
      <c r="B22" s="64"/>
      <c r="C22" s="186" t="s">
        <v>9</v>
      </c>
      <c r="D22" s="64"/>
      <c r="E22" s="175"/>
      <c r="F22" s="175"/>
      <c r="G22" s="128"/>
      <c r="H22" s="128"/>
      <c r="I22" s="128"/>
      <c r="J22" s="129"/>
      <c r="K22" s="129"/>
      <c r="L22" s="129"/>
    </row>
    <row r="23" spans="1:12" ht="16.5" customHeight="1" thickTop="1" thickBot="1" x14ac:dyDescent="0.3">
      <c r="A23" s="64"/>
      <c r="B23" s="64"/>
      <c r="C23" s="185" t="s">
        <v>43</v>
      </c>
      <c r="D23" s="64"/>
      <c r="E23" s="178" t="str">
        <f>VLOOKUP($C$23,TS3L1_OS,13,FALSE)</f>
        <v/>
      </c>
      <c r="F23" s="199" t="str">
        <f>VLOOKUP($C$23,TS3L1_OS,7,FALSE)</f>
        <v/>
      </c>
      <c r="G23" s="128"/>
      <c r="H23" s="128"/>
      <c r="I23" s="128"/>
      <c r="J23" s="136">
        <f>VLOOKUP($C$23,TS3L1_OS,10,FALSE)</f>
        <v>0</v>
      </c>
      <c r="K23" s="129"/>
      <c r="L23" s="136" t="str">
        <f>VLOOKUP($C23,TS3L1_ALL,12,FALSE)</f>
        <v/>
      </c>
    </row>
    <row r="24" spans="1:12" ht="15.75" thickTop="1" x14ac:dyDescent="0.25">
      <c r="A24" s="64"/>
      <c r="B24" s="64"/>
      <c r="C24" s="177"/>
      <c r="D24" s="64"/>
      <c r="E24" s="175"/>
      <c r="F24" s="133"/>
      <c r="G24" s="128"/>
      <c r="H24" s="128"/>
      <c r="I24" s="128"/>
      <c r="J24" s="130"/>
      <c r="K24" s="129"/>
      <c r="L24" s="129"/>
    </row>
    <row r="25" spans="1:12" ht="15.75" customHeight="1" x14ac:dyDescent="0.25">
      <c r="A25" s="64"/>
      <c r="B25" s="64"/>
      <c r="C25" s="187" t="s">
        <v>10</v>
      </c>
      <c r="D25" s="204" t="str">
        <f>HYPERLINK("https://convenzioni.converge.it/docs/ts3_datasheet/DELL_BOSS.pdf","i")</f>
        <v>i</v>
      </c>
      <c r="F25" s="133"/>
      <c r="G25" s="128"/>
      <c r="H25" s="128"/>
      <c r="I25" s="128"/>
      <c r="J25" s="130"/>
      <c r="K25" s="129"/>
      <c r="L25" s="129"/>
    </row>
    <row r="26" spans="1:12" ht="16.5" customHeight="1" thickBot="1" x14ac:dyDescent="0.3">
      <c r="A26" s="64"/>
      <c r="B26" s="64"/>
      <c r="C26" s="188" t="s">
        <v>11</v>
      </c>
      <c r="D26" s="204"/>
      <c r="E26" s="175"/>
      <c r="F26" s="133"/>
      <c r="G26" s="128"/>
      <c r="H26" s="137" t="s">
        <v>219</v>
      </c>
      <c r="I26" s="165"/>
      <c r="J26" s="130"/>
      <c r="K26" s="129"/>
      <c r="L26" s="129"/>
    </row>
    <row r="27" spans="1:12" ht="15" customHeight="1" thickTop="1" x14ac:dyDescent="0.25">
      <c r="A27" s="64"/>
      <c r="B27" s="64"/>
      <c r="C27" s="177"/>
      <c r="D27" s="64"/>
      <c r="E27" s="175"/>
      <c r="F27" s="133"/>
      <c r="G27" s="128"/>
      <c r="H27" s="205" t="s">
        <v>310</v>
      </c>
      <c r="I27" s="128"/>
      <c r="J27" s="130"/>
      <c r="K27" s="129"/>
      <c r="L27" s="129"/>
    </row>
    <row r="28" spans="1:12" ht="15.75" customHeight="1" thickBot="1" x14ac:dyDescent="0.3">
      <c r="A28" s="64"/>
      <c r="B28" s="64"/>
      <c r="C28" s="186" t="s">
        <v>12</v>
      </c>
      <c r="D28" s="64"/>
      <c r="E28" s="175"/>
      <c r="F28" s="175"/>
      <c r="G28" s="128"/>
      <c r="H28" s="206"/>
      <c r="I28" s="128"/>
      <c r="J28" s="129"/>
      <c r="K28" s="129"/>
      <c r="L28" s="129"/>
    </row>
    <row r="29" spans="1:12" ht="16.5" customHeight="1" thickTop="1" thickBot="1" x14ac:dyDescent="0.25">
      <c r="A29" s="64"/>
      <c r="B29" s="64"/>
      <c r="C29" s="185" t="s">
        <v>201</v>
      </c>
      <c r="D29" s="64"/>
      <c r="E29" s="178" t="str">
        <f>VLOOKUP($C29,TS3L1_HDD,13,FALSE)</f>
        <v/>
      </c>
      <c r="F29" s="199" t="str">
        <f>VLOOKUP($C29,TS3L1_HDD,7,FALSE)</f>
        <v/>
      </c>
      <c r="G29" s="128"/>
      <c r="H29" s="206"/>
      <c r="I29" s="128"/>
      <c r="J29" s="136">
        <f>VLOOKUP($C29,TS3L1_HDD,10,FALSE)</f>
        <v>0</v>
      </c>
      <c r="K29" s="136">
        <f>VLOOKUP($C29,TS3L1_HDD,11,FALSE)</f>
        <v>0</v>
      </c>
      <c r="L29" s="136" t="str">
        <f>VLOOKUP($C29,TS3L1_ALL,12,FALSE)</f>
        <v/>
      </c>
    </row>
    <row r="30" spans="1:12" ht="15.75" thickTop="1" x14ac:dyDescent="0.25">
      <c r="A30" s="64"/>
      <c r="B30" s="64"/>
      <c r="C30" s="175"/>
      <c r="D30" s="64"/>
      <c r="E30" s="175"/>
      <c r="F30" s="133"/>
      <c r="G30" s="128"/>
      <c r="H30" s="206"/>
      <c r="I30" s="128"/>
      <c r="J30" s="130"/>
      <c r="K30" s="129"/>
      <c r="L30" s="129"/>
    </row>
    <row r="31" spans="1:12" ht="15.75" customHeight="1" thickBot="1" x14ac:dyDescent="0.3">
      <c r="A31" s="64"/>
      <c r="B31" s="64"/>
      <c r="C31" s="186" t="s">
        <v>13</v>
      </c>
      <c r="D31" s="64"/>
      <c r="E31" s="175"/>
      <c r="F31" s="175"/>
      <c r="G31" s="128"/>
      <c r="H31" s="206"/>
      <c r="I31" s="128"/>
      <c r="J31" s="129"/>
      <c r="K31" s="129"/>
      <c r="L31" s="129"/>
    </row>
    <row r="32" spans="1:12" ht="16.5" customHeight="1" thickTop="1" thickBot="1" x14ac:dyDescent="0.25">
      <c r="A32" s="64"/>
      <c r="B32" s="64"/>
      <c r="C32" s="185" t="s">
        <v>201</v>
      </c>
      <c r="D32" s="64"/>
      <c r="E32" s="178" t="str">
        <f>VLOOKUP($C32,TS3L1_HDD,13,FALSE)</f>
        <v/>
      </c>
      <c r="F32" s="199" t="str">
        <f>VLOOKUP($C32,TS3L1_HDD,7,FALSE)</f>
        <v/>
      </c>
      <c r="G32" s="128"/>
      <c r="H32" s="206"/>
      <c r="I32" s="128"/>
      <c r="J32" s="136">
        <f>VLOOKUP($C32,TS3L1_HDD,10,FALSE)</f>
        <v>0</v>
      </c>
      <c r="K32" s="136">
        <f>VLOOKUP($C32,TS3L1_HDD,11,FALSE)</f>
        <v>0</v>
      </c>
      <c r="L32" s="136" t="str">
        <f>VLOOKUP($C32,TS3L1_ALL,12,FALSE)</f>
        <v/>
      </c>
    </row>
    <row r="33" spans="1:17" ht="15.75" thickTop="1" x14ac:dyDescent="0.25">
      <c r="A33" s="64"/>
      <c r="B33" s="64"/>
      <c r="C33" s="175"/>
      <c r="D33" s="64"/>
      <c r="E33" s="175"/>
      <c r="F33" s="133"/>
      <c r="G33" s="128"/>
      <c r="H33" s="206"/>
      <c r="I33" s="128"/>
      <c r="J33" s="130"/>
      <c r="K33" s="129"/>
      <c r="L33" s="129"/>
    </row>
    <row r="34" spans="1:17" ht="15.75" customHeight="1" thickBot="1" x14ac:dyDescent="0.3">
      <c r="A34" s="64"/>
      <c r="B34" s="64"/>
      <c r="C34" s="186" t="s">
        <v>14</v>
      </c>
      <c r="D34" s="64"/>
      <c r="E34" s="175"/>
      <c r="F34" s="175"/>
      <c r="G34" s="128"/>
      <c r="H34" s="206"/>
      <c r="I34" s="128"/>
      <c r="J34" s="129"/>
      <c r="K34" s="129"/>
      <c r="L34" s="129"/>
    </row>
    <row r="35" spans="1:17" ht="16.5" customHeight="1" thickTop="1" thickBot="1" x14ac:dyDescent="0.25">
      <c r="A35" s="64"/>
      <c r="B35" s="64"/>
      <c r="C35" s="185" t="s">
        <v>201</v>
      </c>
      <c r="D35" s="64"/>
      <c r="E35" s="178" t="str">
        <f>VLOOKUP($C35,TS3L1_HDD,13,FALSE)</f>
        <v/>
      </c>
      <c r="F35" s="199" t="str">
        <f>VLOOKUP($C35,TS3L1_HDD,7,FALSE)</f>
        <v/>
      </c>
      <c r="G35" s="128"/>
      <c r="H35" s="206"/>
      <c r="I35" s="128"/>
      <c r="J35" s="136">
        <f>VLOOKUP($C35,TS3L1_HDD,10,FALSE)</f>
        <v>0</v>
      </c>
      <c r="K35" s="136">
        <f>VLOOKUP($C35,TS3L1_HDD,11,FALSE)</f>
        <v>0</v>
      </c>
      <c r="L35" s="136" t="str">
        <f>VLOOKUP($C35,TS3L1_ALL,12,FALSE)</f>
        <v/>
      </c>
    </row>
    <row r="36" spans="1:17" ht="15.75" thickTop="1" x14ac:dyDescent="0.25">
      <c r="A36" s="64"/>
      <c r="B36" s="64"/>
      <c r="C36" s="175"/>
      <c r="D36" s="64"/>
      <c r="E36" s="175"/>
      <c r="F36" s="133"/>
      <c r="G36" s="128"/>
      <c r="H36" s="206"/>
      <c r="I36" s="128"/>
      <c r="J36" s="130"/>
      <c r="K36" s="129"/>
      <c r="L36" s="129"/>
    </row>
    <row r="37" spans="1:17" ht="15.75" customHeight="1" thickBot="1" x14ac:dyDescent="0.3">
      <c r="A37" s="64"/>
      <c r="B37" s="64"/>
      <c r="C37" s="186" t="s">
        <v>16</v>
      </c>
      <c r="D37" s="64"/>
      <c r="E37" s="175"/>
      <c r="F37" s="175"/>
      <c r="G37" s="128"/>
      <c r="H37" s="206"/>
      <c r="I37" s="128"/>
      <c r="J37" s="129"/>
      <c r="K37" s="129"/>
      <c r="L37" s="129"/>
    </row>
    <row r="38" spans="1:17" ht="16.5" customHeight="1" thickTop="1" thickBot="1" x14ac:dyDescent="0.25">
      <c r="A38" s="64"/>
      <c r="B38" s="64"/>
      <c r="C38" s="185" t="s">
        <v>201</v>
      </c>
      <c r="D38" s="64"/>
      <c r="E38" s="178" t="str">
        <f>VLOOKUP($C38,TS3L1_HDD,13,FALSE)</f>
        <v/>
      </c>
      <c r="F38" s="199" t="str">
        <f>VLOOKUP($C38,TS3L1_HDD,7,FALSE)</f>
        <v/>
      </c>
      <c r="G38" s="128"/>
      <c r="H38" s="207"/>
      <c r="I38" s="128"/>
      <c r="J38" s="136">
        <f>VLOOKUP($C38,TS3L1_HDD,10,FALSE)</f>
        <v>0</v>
      </c>
      <c r="K38" s="136">
        <f>VLOOKUP($C38,TS3L1_HDD,11,FALSE)</f>
        <v>0</v>
      </c>
      <c r="L38" s="136" t="str">
        <f>VLOOKUP($C38,TS3L1_ALL,12,FALSE)</f>
        <v/>
      </c>
    </row>
    <row r="39" spans="1:17" ht="15.75" thickTop="1" x14ac:dyDescent="0.25">
      <c r="A39" s="64"/>
      <c r="B39" s="64"/>
      <c r="C39" s="175"/>
      <c r="D39" s="64"/>
      <c r="E39" s="175"/>
      <c r="F39" s="133"/>
      <c r="G39" s="128"/>
      <c r="H39" s="128"/>
      <c r="I39" s="128"/>
      <c r="J39" s="130"/>
      <c r="K39" s="129"/>
      <c r="L39" s="129"/>
    </row>
    <row r="40" spans="1:17" ht="15.75" customHeight="1" thickBot="1" x14ac:dyDescent="0.3">
      <c r="A40" s="64"/>
      <c r="B40" s="64"/>
      <c r="C40" s="186" t="s">
        <v>15</v>
      </c>
      <c r="D40" s="64"/>
      <c r="E40" s="175"/>
      <c r="F40" s="175"/>
      <c r="G40" s="128"/>
      <c r="H40" s="128"/>
      <c r="I40" s="128"/>
      <c r="J40" s="129"/>
      <c r="K40" s="129"/>
      <c r="L40" s="129"/>
    </row>
    <row r="41" spans="1:17" ht="16.5" customHeight="1" thickTop="1" thickBot="1" x14ac:dyDescent="0.3">
      <c r="A41" s="134"/>
      <c r="B41" s="64"/>
      <c r="C41" s="185" t="s">
        <v>96</v>
      </c>
      <c r="D41" s="64"/>
      <c r="E41" s="178" t="str">
        <f>VLOOKUP($C41,TS3L1_PSU,13,FALSE)</f>
        <v/>
      </c>
      <c r="F41" s="199" t="str">
        <f>VLOOKUP($C41,TS3L1_PSU,7,FALSE)</f>
        <v/>
      </c>
      <c r="G41" s="128"/>
      <c r="H41" s="128"/>
      <c r="I41" s="128"/>
      <c r="J41" s="136">
        <f>VLOOKUP($C41,TS3L1_PSU,10,FALSE)</f>
        <v>0</v>
      </c>
      <c r="L41" s="134">
        <f>IF((M41+M80+M83)&gt;0,"L1N18",0)</f>
        <v>0</v>
      </c>
      <c r="M41" s="170">
        <f>IF(Q41="",0,1)</f>
        <v>0</v>
      </c>
      <c r="N41" s="171" t="e">
        <f>(M41+M80+M83)/(M41+M80+M83)</f>
        <v>#DIV/0!</v>
      </c>
      <c r="O41" s="136">
        <f>VLOOKUP($C41,TS3L1_PSU,11,FALSE)</f>
        <v>0</v>
      </c>
      <c r="P41" s="170" t="e">
        <f>N42/N41</f>
        <v>#DIV/0!</v>
      </c>
      <c r="Q41" s="136" t="str">
        <f>VLOOKUP($C41,TS3L1_ALL,12,FALSE)</f>
        <v/>
      </c>
    </row>
    <row r="42" spans="1:17" ht="15.75" thickTop="1" x14ac:dyDescent="0.25">
      <c r="A42" s="64"/>
      <c r="B42" s="64"/>
      <c r="C42" s="175"/>
      <c r="D42" s="64"/>
      <c r="E42" s="175"/>
      <c r="F42" s="133"/>
      <c r="G42" s="128"/>
      <c r="H42" s="128"/>
      <c r="I42" s="128"/>
      <c r="J42" s="130"/>
      <c r="K42" s="134">
        <f>IFERROR(N42,0)</f>
        <v>0</v>
      </c>
      <c r="L42" s="129" t="str">
        <f>IF(Q41="L1N18","TS3L12PSU","TS3L11PSU")</f>
        <v>TS3L11PSU</v>
      </c>
      <c r="N42" s="170" t="e">
        <f>(O41+O80+O83)/(M41+M80+M83)</f>
        <v>#DIV/0!</v>
      </c>
    </row>
    <row r="43" spans="1:17" ht="15.75" customHeight="1" x14ac:dyDescent="0.25">
      <c r="A43" s="64"/>
      <c r="B43" s="64"/>
      <c r="C43" s="131" t="s">
        <v>193</v>
      </c>
      <c r="D43" s="204" t="str">
        <f>HYPERLINK("https://convenzioni.converge.it/docs/ts3_datasheet/idrac-spec-sheet.pdf","i")</f>
        <v>i</v>
      </c>
      <c r="E43" s="175"/>
      <c r="F43" s="133"/>
      <c r="G43" s="128"/>
      <c r="H43" s="128"/>
      <c r="I43" s="128"/>
      <c r="J43" s="129"/>
      <c r="K43" s="129"/>
      <c r="L43" s="129"/>
    </row>
    <row r="44" spans="1:17" ht="16.5" customHeight="1" x14ac:dyDescent="0.25">
      <c r="A44" s="64"/>
      <c r="B44" s="64"/>
      <c r="C44" s="176" t="s">
        <v>194</v>
      </c>
      <c r="D44" s="204"/>
      <c r="E44" s="175"/>
      <c r="F44" s="133"/>
      <c r="G44" s="128"/>
      <c r="H44" s="128"/>
      <c r="I44" s="128"/>
      <c r="J44" s="130"/>
      <c r="K44" s="129"/>
      <c r="L44" s="129"/>
    </row>
    <row r="45" spans="1:17" ht="15" x14ac:dyDescent="0.25">
      <c r="A45" s="64"/>
      <c r="B45" s="64"/>
      <c r="C45" s="175"/>
      <c r="D45" s="64"/>
      <c r="E45" s="175"/>
      <c r="F45" s="133"/>
      <c r="G45" s="128"/>
      <c r="H45" s="128"/>
      <c r="I45" s="128"/>
      <c r="J45" s="129"/>
      <c r="K45" s="129"/>
      <c r="L45" s="129"/>
    </row>
    <row r="46" spans="1:17" ht="15.75" customHeight="1" x14ac:dyDescent="0.25">
      <c r="A46" s="64"/>
      <c r="B46" s="64"/>
      <c r="C46" s="131" t="s">
        <v>195</v>
      </c>
      <c r="D46" s="64"/>
      <c r="E46" s="175"/>
      <c r="F46" s="133"/>
      <c r="G46" s="128"/>
      <c r="H46" s="128"/>
      <c r="I46" s="128"/>
      <c r="J46" s="130"/>
      <c r="K46" s="129"/>
      <c r="L46" s="129"/>
    </row>
    <row r="47" spans="1:17" ht="16.5" customHeight="1" x14ac:dyDescent="0.25">
      <c r="A47" s="64"/>
      <c r="B47" s="64"/>
      <c r="C47" s="176" t="s">
        <v>196</v>
      </c>
      <c r="D47" s="64"/>
      <c r="E47" s="175"/>
      <c r="F47" s="133"/>
      <c r="G47" s="128"/>
      <c r="H47" s="128"/>
      <c r="I47" s="128"/>
      <c r="J47" s="129"/>
      <c r="K47" s="129"/>
      <c r="L47" s="129"/>
    </row>
    <row r="48" spans="1:17" ht="15" x14ac:dyDescent="0.25">
      <c r="A48" s="64"/>
      <c r="B48" s="64"/>
      <c r="C48" s="189"/>
      <c r="D48" s="64"/>
      <c r="E48" s="175"/>
      <c r="F48" s="133"/>
      <c r="G48" s="128"/>
      <c r="H48" s="128"/>
      <c r="I48" s="128"/>
      <c r="J48" s="130"/>
      <c r="K48" s="129"/>
      <c r="L48" s="129"/>
    </row>
    <row r="49" spans="1:12" ht="15.75" customHeight="1" x14ac:dyDescent="0.25">
      <c r="A49" s="64"/>
      <c r="B49" s="64"/>
      <c r="C49" s="190" t="s">
        <v>197</v>
      </c>
      <c r="D49" s="64"/>
      <c r="E49" s="175"/>
      <c r="F49" s="133"/>
      <c r="G49" s="128"/>
      <c r="H49" s="128"/>
      <c r="I49" s="128"/>
      <c r="J49" s="129"/>
      <c r="K49" s="129"/>
      <c r="L49" s="129"/>
    </row>
    <row r="50" spans="1:12" ht="16.5" customHeight="1" x14ac:dyDescent="0.2">
      <c r="A50" s="64"/>
      <c r="B50" s="64"/>
      <c r="C50" s="191" t="s">
        <v>152</v>
      </c>
      <c r="D50" s="64"/>
      <c r="E50" s="178" t="str">
        <f>VLOOKUP($C50,TS3L1_PCI1,13,FALSE)</f>
        <v/>
      </c>
      <c r="F50" s="199" t="str">
        <f>VLOOKUP($C50,TS3L1_PCI1,7,FALSE)</f>
        <v/>
      </c>
      <c r="G50" s="128"/>
      <c r="H50" s="128"/>
      <c r="I50" s="128"/>
      <c r="J50" s="136">
        <f>VLOOKUP($C50,TS3L1_PCI1,10,FALSE)</f>
        <v>0</v>
      </c>
      <c r="K50" s="136">
        <f>VLOOKUP($C50,TS3L1_PCI1,11,FALSE)</f>
        <v>0</v>
      </c>
      <c r="L50" s="136" t="str">
        <f>VLOOKUP($C50,TS3L1_ALL,12,FALSE)</f>
        <v/>
      </c>
    </row>
    <row r="51" spans="1:12" ht="15" x14ac:dyDescent="0.25">
      <c r="A51" s="64"/>
      <c r="B51" s="64"/>
      <c r="D51" s="64"/>
      <c r="E51" s="175"/>
      <c r="F51" s="133"/>
      <c r="G51" s="128"/>
      <c r="H51" s="128"/>
      <c r="I51" s="128"/>
      <c r="J51" s="130"/>
      <c r="K51" s="129"/>
      <c r="L51" s="129"/>
    </row>
    <row r="52" spans="1:12" ht="15.75" customHeight="1" thickBot="1" x14ac:dyDescent="0.3">
      <c r="A52" s="64"/>
      <c r="B52" s="64"/>
      <c r="C52" s="192" t="s">
        <v>205</v>
      </c>
      <c r="D52" s="64"/>
      <c r="E52" s="175"/>
      <c r="F52" s="133"/>
      <c r="G52" s="128"/>
      <c r="H52" s="128"/>
      <c r="I52" s="128"/>
      <c r="J52" s="129"/>
      <c r="K52" s="129"/>
      <c r="L52" s="129"/>
    </row>
    <row r="53" spans="1:12" ht="16.5" customHeight="1" thickTop="1" thickBot="1" x14ac:dyDescent="0.25">
      <c r="A53" s="64"/>
      <c r="B53" s="64"/>
      <c r="C53" s="185" t="s">
        <v>201</v>
      </c>
      <c r="D53" s="64"/>
      <c r="E53" s="178" t="str">
        <f>VLOOKUP($C53,TS3L1_PCI2,13,FALSE)</f>
        <v/>
      </c>
      <c r="F53" s="199" t="str">
        <f>VLOOKUP($C53,TS3L1_PCI2,7,FALSE)</f>
        <v/>
      </c>
      <c r="G53" s="128"/>
      <c r="H53" s="128"/>
      <c r="I53" s="128"/>
      <c r="J53" s="136">
        <f>VLOOKUP($C53,TS3L1_PCI2,10,FALSE)</f>
        <v>0</v>
      </c>
      <c r="K53" s="136">
        <f>VLOOKUP($C53,TS3L1_PCI2,11,FALSE)</f>
        <v>0</v>
      </c>
      <c r="L53" s="136" t="str">
        <f>VLOOKUP($C53,TS3L1_ALL,12,FALSE)</f>
        <v/>
      </c>
    </row>
    <row r="54" spans="1:12" ht="15.75" thickTop="1" x14ac:dyDescent="0.25">
      <c r="A54" s="64"/>
      <c r="B54" s="64"/>
      <c r="D54" s="64"/>
      <c r="E54" s="175"/>
      <c r="F54" s="133"/>
      <c r="G54" s="128"/>
      <c r="H54" s="128"/>
      <c r="I54" s="128"/>
      <c r="J54" s="130"/>
      <c r="K54" s="129"/>
      <c r="L54" s="129"/>
    </row>
    <row r="55" spans="1:12" ht="15.75" customHeight="1" thickBot="1" x14ac:dyDescent="0.3">
      <c r="A55" s="64"/>
      <c r="B55" s="64"/>
      <c r="C55" s="192" t="s">
        <v>204</v>
      </c>
      <c r="D55" s="64"/>
      <c r="E55" s="175"/>
      <c r="F55" s="133"/>
      <c r="G55" s="128"/>
      <c r="H55" s="128"/>
      <c r="I55" s="128"/>
      <c r="J55" s="129"/>
      <c r="K55" s="129"/>
      <c r="L55" s="129"/>
    </row>
    <row r="56" spans="1:12" ht="16.5" customHeight="1" thickTop="1" thickBot="1" x14ac:dyDescent="0.25">
      <c r="A56" s="64"/>
      <c r="B56" s="64"/>
      <c r="C56" s="185" t="s">
        <v>201</v>
      </c>
      <c r="D56" s="64"/>
      <c r="E56" s="178" t="str">
        <f>VLOOKUP($C56,TS3L1_PCI3,13,FALSE)</f>
        <v/>
      </c>
      <c r="F56" s="199" t="str">
        <f>VLOOKUP($C56,TS3L1_PCI3,7,FALSE)</f>
        <v/>
      </c>
      <c r="G56" s="128"/>
      <c r="H56" s="128"/>
      <c r="I56" s="128"/>
      <c r="J56" s="136">
        <f>VLOOKUP($C56,TS3L1_PCI3,10,FALSE)</f>
        <v>0</v>
      </c>
      <c r="K56" s="136">
        <f>VLOOKUP($C56,TS3L1_PCI3,11,FALSE)</f>
        <v>0</v>
      </c>
      <c r="L56" s="136" t="str">
        <f>VLOOKUP($C56,TS3L1_ALL,12,FALSE)</f>
        <v/>
      </c>
    </row>
    <row r="57" spans="1:12" ht="15.75" thickTop="1" x14ac:dyDescent="0.25">
      <c r="A57" s="64"/>
      <c r="B57" s="64"/>
      <c r="D57" s="64"/>
      <c r="E57" s="175"/>
      <c r="F57" s="133"/>
      <c r="G57" s="128"/>
      <c r="H57" s="128"/>
      <c r="I57" s="128"/>
      <c r="J57" s="130"/>
      <c r="K57" s="129"/>
      <c r="L57" s="129"/>
    </row>
    <row r="58" spans="1:12" ht="15.75" customHeight="1" thickBot="1" x14ac:dyDescent="0.3">
      <c r="A58" s="64"/>
      <c r="B58" s="64"/>
      <c r="C58" s="192" t="s">
        <v>203</v>
      </c>
      <c r="D58" s="64"/>
      <c r="E58" s="175"/>
      <c r="F58" s="133"/>
      <c r="G58" s="128"/>
      <c r="H58" s="128"/>
      <c r="I58" s="128"/>
      <c r="J58" s="129"/>
      <c r="K58" s="129"/>
      <c r="L58" s="129"/>
    </row>
    <row r="59" spans="1:12" ht="16.5" customHeight="1" thickTop="1" thickBot="1" x14ac:dyDescent="0.25">
      <c r="A59" s="64"/>
      <c r="B59" s="64"/>
      <c r="C59" s="185" t="s">
        <v>201</v>
      </c>
      <c r="D59" s="64"/>
      <c r="E59" s="178" t="str">
        <f>VLOOKUP($C59,TS3L1_PCI4,13,FALSE)</f>
        <v/>
      </c>
      <c r="F59" s="199" t="str">
        <f>VLOOKUP($C59,TS3L1_PCI4,7,FALSE)</f>
        <v/>
      </c>
      <c r="G59" s="128"/>
      <c r="H59" s="128"/>
      <c r="I59" s="128"/>
      <c r="J59" s="136">
        <f>VLOOKUP($C59,TS3L1_PCI4,10,FALSE)</f>
        <v>0</v>
      </c>
      <c r="K59" s="136">
        <f>VLOOKUP($C59,TS3L1_PCI4,11,FALSE)</f>
        <v>0</v>
      </c>
      <c r="L59" s="136" t="str">
        <f>VLOOKUP($C59,TS3L1_ALL,12,FALSE)</f>
        <v/>
      </c>
    </row>
    <row r="60" spans="1:12" ht="15.75" thickTop="1" x14ac:dyDescent="0.25">
      <c r="A60" s="64"/>
      <c r="B60" s="64"/>
      <c r="C60" s="193"/>
      <c r="D60" s="64"/>
      <c r="E60" s="175"/>
      <c r="F60" s="133"/>
      <c r="G60" s="128"/>
      <c r="H60" s="128"/>
      <c r="I60" s="128"/>
      <c r="J60" s="130"/>
      <c r="K60" s="129"/>
      <c r="L60" s="129"/>
    </row>
    <row r="61" spans="1:12" ht="15" hidden="1" x14ac:dyDescent="0.25">
      <c r="A61" s="64"/>
      <c r="B61" s="64"/>
      <c r="C61" s="190" t="s">
        <v>331</v>
      </c>
      <c r="D61" s="64"/>
      <c r="E61" s="175"/>
      <c r="F61" s="151" t="s">
        <v>273</v>
      </c>
      <c r="G61" s="128"/>
      <c r="H61" s="128"/>
      <c r="I61" s="128"/>
      <c r="J61" s="130"/>
      <c r="K61" s="129"/>
      <c r="L61" s="129"/>
    </row>
    <row r="62" spans="1:12" ht="12.75" hidden="1" x14ac:dyDescent="0.2">
      <c r="A62" s="64"/>
      <c r="B62" s="64"/>
      <c r="C62" s="194" t="s">
        <v>332</v>
      </c>
      <c r="D62" s="64"/>
      <c r="E62" s="178" t="str">
        <f>IF(K62&gt;0,VLOOKUP($C62,TS3L1_ALL,13,FALSE),"")</f>
        <v/>
      </c>
      <c r="F62" s="200"/>
      <c r="G62" s="128"/>
      <c r="H62" s="128"/>
      <c r="I62" s="128"/>
      <c r="J62" s="136"/>
      <c r="K62" s="136">
        <f>VLOOKUP($C62,TS3L1_ALL,11,FALSE)*F62</f>
        <v>0</v>
      </c>
      <c r="L62" s="136" t="str">
        <f>VLOOKUP($C62,TS3L1_ALL,12,FALSE)</f>
        <v>L1N34</v>
      </c>
    </row>
    <row r="63" spans="1:12" ht="15" hidden="1" x14ac:dyDescent="0.25">
      <c r="A63" s="64"/>
      <c r="B63" s="64"/>
      <c r="C63" s="193"/>
      <c r="D63" s="64"/>
      <c r="E63" s="175"/>
      <c r="F63" s="133"/>
      <c r="G63" s="128"/>
      <c r="H63" s="128"/>
      <c r="I63" s="128"/>
      <c r="J63" s="130"/>
      <c r="K63" s="129"/>
      <c r="L63" s="129"/>
    </row>
    <row r="64" spans="1:12" ht="15" hidden="1" x14ac:dyDescent="0.25">
      <c r="A64" s="64"/>
      <c r="B64" s="64"/>
      <c r="C64" s="190" t="s">
        <v>333</v>
      </c>
      <c r="D64" s="64"/>
      <c r="E64" s="175"/>
      <c r="F64" s="151" t="s">
        <v>273</v>
      </c>
      <c r="G64" s="128"/>
      <c r="H64" s="128"/>
      <c r="I64" s="128"/>
      <c r="J64" s="130"/>
      <c r="K64" s="129"/>
      <c r="L64" s="129"/>
    </row>
    <row r="65" spans="1:17" ht="12.75" hidden="1" x14ac:dyDescent="0.2">
      <c r="A65" s="64"/>
      <c r="B65" s="64"/>
      <c r="C65" s="194" t="s">
        <v>334</v>
      </c>
      <c r="D65" s="64"/>
      <c r="E65" s="178" t="str">
        <f>IF(K65&gt;0,VLOOKUP($C65,TS3L1_ALL,13,FALSE),"")</f>
        <v/>
      </c>
      <c r="F65" s="200"/>
      <c r="G65" s="128"/>
      <c r="H65" s="128"/>
      <c r="I65" s="128"/>
      <c r="J65" s="136"/>
      <c r="K65" s="136">
        <f>VLOOKUP($C65,TS3L1_ALL,11,FALSE)*F65</f>
        <v>0</v>
      </c>
      <c r="L65" s="136" t="str">
        <f>VLOOKUP($C65,TS3L1_ALL,12,FALSE)</f>
        <v>L1N35</v>
      </c>
    </row>
    <row r="66" spans="1:17" ht="12.75" hidden="1" x14ac:dyDescent="0.2">
      <c r="A66" s="64"/>
      <c r="B66" s="64"/>
      <c r="C66" s="194" t="s">
        <v>335</v>
      </c>
      <c r="D66" s="64"/>
      <c r="E66" s="178" t="str">
        <f>IF(K66&gt;0,VLOOKUP($C66,TS3L1_ALL,13,FALSE),"")</f>
        <v/>
      </c>
      <c r="F66" s="200"/>
      <c r="G66" s="128"/>
      <c r="H66" s="128"/>
      <c r="I66" s="128"/>
      <c r="J66" s="136"/>
      <c r="K66" s="136">
        <f>VLOOKUP($C66,TS3L1_ALL,11,FALSE)*F66</f>
        <v>0</v>
      </c>
      <c r="L66" s="136" t="str">
        <f>VLOOKUP($C66,TS3L1_ALL,12,FALSE)</f>
        <v>L1N36</v>
      </c>
    </row>
    <row r="67" spans="1:17" ht="12.75" hidden="1" x14ac:dyDescent="0.2">
      <c r="A67" s="64"/>
      <c r="B67" s="64"/>
      <c r="C67" s="194" t="s">
        <v>336</v>
      </c>
      <c r="D67" s="64"/>
      <c r="E67" s="178" t="str">
        <f>IF(K67&gt;0,VLOOKUP($C67,TS3L1_ALL,13,FALSE),"")</f>
        <v/>
      </c>
      <c r="F67" s="200"/>
      <c r="G67" s="128"/>
      <c r="H67" s="128"/>
      <c r="I67" s="128"/>
      <c r="J67" s="136"/>
      <c r="K67" s="136">
        <f>VLOOKUP($C67,TS3L1_ALL,11,FALSE)*F67</f>
        <v>0</v>
      </c>
      <c r="L67" s="136" t="str">
        <f>VLOOKUP($C67,TS3L1_ALL,12,FALSE)</f>
        <v>L1N37</v>
      </c>
    </row>
    <row r="68" spans="1:17" ht="14.25" hidden="1" customHeight="1" x14ac:dyDescent="0.25">
      <c r="A68" s="64"/>
      <c r="B68" s="64"/>
      <c r="C68" s="193"/>
      <c r="D68" s="64"/>
      <c r="E68" s="175"/>
      <c r="F68" s="133"/>
      <c r="G68" s="128"/>
      <c r="H68" s="128"/>
      <c r="I68" s="128"/>
      <c r="J68" s="130"/>
      <c r="K68" s="129"/>
      <c r="L68" s="129"/>
    </row>
    <row r="69" spans="1:17" ht="15.75" customHeight="1" thickBot="1" x14ac:dyDescent="0.3">
      <c r="A69" s="64"/>
      <c r="B69" s="64"/>
      <c r="C69" s="190" t="s">
        <v>337</v>
      </c>
      <c r="D69" s="64"/>
      <c r="E69" s="175"/>
      <c r="F69" s="133"/>
      <c r="G69" s="128"/>
      <c r="H69" s="128"/>
      <c r="I69" s="128"/>
      <c r="J69" s="130"/>
      <c r="K69" s="129"/>
      <c r="L69" s="129"/>
    </row>
    <row r="70" spans="1:17" ht="16.5" customHeight="1" thickTop="1" thickBot="1" x14ac:dyDescent="0.25">
      <c r="A70" s="64"/>
      <c r="B70" s="64"/>
      <c r="C70" s="191" t="s">
        <v>320</v>
      </c>
      <c r="D70" s="64"/>
      <c r="E70" s="178" t="str">
        <f>IF(K70&gt;0,VLOOKUP($C70,ConfigurationTS3L1!A58:M100,13,FALSE),"")</f>
        <v>TS3L1-RJ453M</v>
      </c>
      <c r="F70" s="201">
        <v>3</v>
      </c>
      <c r="G70" s="128"/>
      <c r="H70" s="128"/>
      <c r="I70" s="128"/>
      <c r="J70" s="136">
        <v>0</v>
      </c>
      <c r="K70" s="136">
        <f>IF(F70&gt;0,(F70)*ConfigurationTS3L1!K58,0)</f>
        <v>9</v>
      </c>
      <c r="L70" s="136" t="str">
        <f>VLOOKUP($C70,TS3L1_ALL,12,FALSE)</f>
        <v>L1N26</v>
      </c>
    </row>
    <row r="71" spans="1:17" ht="15.75" thickTop="1" x14ac:dyDescent="0.25">
      <c r="A71" s="64"/>
      <c r="B71" s="64"/>
      <c r="C71" s="193"/>
      <c r="D71" s="64"/>
      <c r="E71" s="175"/>
      <c r="F71" s="133"/>
      <c r="G71" s="128"/>
      <c r="H71" s="128"/>
      <c r="I71" s="128"/>
      <c r="J71" s="130"/>
      <c r="K71" s="129"/>
      <c r="L71" s="129"/>
    </row>
    <row r="72" spans="1:17" ht="15" hidden="1" x14ac:dyDescent="0.25">
      <c r="A72" s="64"/>
      <c r="B72" s="64"/>
      <c r="C72" s="190" t="s">
        <v>338</v>
      </c>
      <c r="D72" s="64"/>
      <c r="E72" s="175"/>
      <c r="F72" s="151" t="s">
        <v>273</v>
      </c>
      <c r="G72" s="128"/>
      <c r="H72" s="128"/>
      <c r="I72" s="128"/>
      <c r="J72" s="130"/>
      <c r="K72" s="129"/>
      <c r="L72" s="129"/>
    </row>
    <row r="73" spans="1:17" ht="12.75" hidden="1" x14ac:dyDescent="0.2">
      <c r="A73" s="64"/>
      <c r="B73" s="64"/>
      <c r="C73" s="194" t="s">
        <v>339</v>
      </c>
      <c r="D73" s="64"/>
      <c r="E73" s="178" t="str">
        <f>IF(K73&gt;0,VLOOKUP($C73,TS3L1_ALL,13,FALSE),"")</f>
        <v/>
      </c>
      <c r="F73" s="200"/>
      <c r="G73" s="128"/>
      <c r="H73" s="128"/>
      <c r="I73" s="128"/>
      <c r="J73" s="136"/>
      <c r="K73" s="136">
        <f>VLOOKUP($C73,TS3L1_ALL,11,FALSE)*F73</f>
        <v>0</v>
      </c>
      <c r="L73" s="136" t="str">
        <f>VLOOKUP($C73,TS3L1_ALL,12,FALSE)</f>
        <v>L1N29</v>
      </c>
    </row>
    <row r="74" spans="1:17" ht="12.75" hidden="1" x14ac:dyDescent="0.2">
      <c r="A74" s="64"/>
      <c r="B74" s="64"/>
      <c r="C74" s="194" t="s">
        <v>340</v>
      </c>
      <c r="D74" s="64"/>
      <c r="E74" s="178" t="str">
        <f>IF(K74&gt;0,VLOOKUP($C74,TS3L1_ALL,13,FALSE),"")</f>
        <v/>
      </c>
      <c r="F74" s="200"/>
      <c r="G74" s="128"/>
      <c r="H74" s="128"/>
      <c r="I74" s="128"/>
      <c r="J74" s="136"/>
      <c r="K74" s="136">
        <f>VLOOKUP($C74,TS3L1_ALL,11,FALSE)*F74</f>
        <v>0</v>
      </c>
      <c r="L74" s="136" t="str">
        <f>VLOOKUP($C74,TS3L1_ALL,12,FALSE)</f>
        <v>L1N30</v>
      </c>
    </row>
    <row r="75" spans="1:17" ht="12.75" hidden="1" x14ac:dyDescent="0.2">
      <c r="A75" s="64"/>
      <c r="B75" s="64"/>
      <c r="C75" s="194" t="s">
        <v>341</v>
      </c>
      <c r="D75" s="64"/>
      <c r="E75" s="178" t="str">
        <f>IF(K75&gt;0,VLOOKUP($C75,TS3L1_ALL,13,FALSE),"")</f>
        <v/>
      </c>
      <c r="F75" s="200"/>
      <c r="G75" s="128"/>
      <c r="H75" s="128"/>
      <c r="I75" s="128"/>
      <c r="J75" s="136"/>
      <c r="K75" s="136">
        <f>VLOOKUP($C75,TS3L1_ALL,11,FALSE)*F75</f>
        <v>0</v>
      </c>
      <c r="L75" s="136" t="str">
        <f>VLOOKUP($C75,TS3L1_ALL,12,FALSE)</f>
        <v>L1N31</v>
      </c>
    </row>
    <row r="76" spans="1:17" ht="12.75" hidden="1" x14ac:dyDescent="0.2">
      <c r="A76" s="64"/>
      <c r="B76" s="64"/>
      <c r="C76" s="194" t="s">
        <v>342</v>
      </c>
      <c r="D76" s="64"/>
      <c r="E76" s="178" t="str">
        <f>IF(K76&gt;0,VLOOKUP($C76,TS3L1_ALL,13,FALSE),"")</f>
        <v/>
      </c>
      <c r="F76" s="200"/>
      <c r="G76" s="128"/>
      <c r="H76" s="128"/>
      <c r="I76" s="128"/>
      <c r="J76" s="136"/>
      <c r="K76" s="136">
        <f>VLOOKUP($C76,TS3L1_ALL,11,FALSE)*F76</f>
        <v>0</v>
      </c>
      <c r="L76" s="136" t="str">
        <f>VLOOKUP($C76,TS3L1_ALL,12,FALSE)</f>
        <v>L1N32</v>
      </c>
    </row>
    <row r="77" spans="1:17" ht="12.75" hidden="1" x14ac:dyDescent="0.2">
      <c r="A77" s="64"/>
      <c r="B77" s="64"/>
      <c r="C77" s="194" t="s">
        <v>343</v>
      </c>
      <c r="D77" s="64"/>
      <c r="E77" s="178" t="str">
        <f>IF(K77&gt;0,VLOOKUP($C77,TS3L1_ALL,13,FALSE),"")</f>
        <v/>
      </c>
      <c r="F77" s="200"/>
      <c r="G77" s="128"/>
      <c r="H77" s="128"/>
      <c r="I77" s="128"/>
      <c r="J77" s="136"/>
      <c r="K77" s="136">
        <f>VLOOKUP($C77,TS3L1_ALL,11,FALSE)*F77</f>
        <v>0</v>
      </c>
      <c r="L77" s="136" t="str">
        <f>VLOOKUP($C77,TS3L1_ALL,12,FALSE)</f>
        <v>L1N33</v>
      </c>
    </row>
    <row r="78" spans="1:17" ht="15" hidden="1" customHeight="1" x14ac:dyDescent="0.25">
      <c r="A78" s="64"/>
      <c r="B78" s="64"/>
      <c r="C78" s="193"/>
      <c r="D78" s="64"/>
      <c r="E78" s="175"/>
      <c r="F78" s="133"/>
      <c r="G78" s="128"/>
      <c r="H78" s="128"/>
      <c r="I78" s="128"/>
      <c r="J78" s="130"/>
      <c r="K78" s="129"/>
      <c r="L78" s="129"/>
    </row>
    <row r="79" spans="1:17" ht="15.75" customHeight="1" thickBot="1" x14ac:dyDescent="0.3">
      <c r="A79" s="64"/>
      <c r="B79" s="64"/>
      <c r="C79" s="186" t="s">
        <v>155</v>
      </c>
      <c r="D79" s="64"/>
      <c r="E79" s="175"/>
      <c r="F79" s="133"/>
      <c r="G79" s="128"/>
      <c r="H79" s="128"/>
      <c r="I79" s="128"/>
      <c r="J79" s="129"/>
      <c r="K79" s="129"/>
      <c r="L79" s="129"/>
    </row>
    <row r="80" spans="1:17" ht="16.5" customHeight="1" thickTop="1" thickBot="1" x14ac:dyDescent="0.3">
      <c r="A80" s="64"/>
      <c r="B80" s="64"/>
      <c r="C80" s="185" t="s">
        <v>154</v>
      </c>
      <c r="D80" s="64"/>
      <c r="E80" s="178" t="str">
        <f>VLOOKUP($C80,TS3L1_BEZEL,13,FALSE)</f>
        <v/>
      </c>
      <c r="F80" s="199" t="str">
        <f>VLOOKUP($C80,TS3L1_BEZEL,7,FALSE)</f>
        <v/>
      </c>
      <c r="G80" s="128"/>
      <c r="H80" s="128"/>
      <c r="I80" s="128"/>
      <c r="J80" s="136">
        <f>VLOOKUP($C80,TS3L1_BEZEL,10,FALSE)</f>
        <v>0</v>
      </c>
      <c r="M80" s="170">
        <f>IF(Q80="",0,1)</f>
        <v>0</v>
      </c>
      <c r="O80" s="136">
        <f>VLOOKUP($C80,TS3L1_BEZEL,11,FALSE)</f>
        <v>0</v>
      </c>
      <c r="Q80" s="136" t="str">
        <f>VLOOKUP($C80,TS3L1_ALL,12,FALSE)</f>
        <v/>
      </c>
    </row>
    <row r="81" spans="1:17" ht="15.75" thickTop="1" x14ac:dyDescent="0.25">
      <c r="A81" s="134"/>
      <c r="B81" s="64"/>
      <c r="C81" s="177"/>
      <c r="D81" s="64"/>
      <c r="E81" s="175"/>
      <c r="F81" s="133"/>
      <c r="G81" s="128"/>
      <c r="H81" s="128"/>
      <c r="I81" s="128"/>
      <c r="J81" s="130"/>
      <c r="K81" s="129"/>
      <c r="L81" s="129"/>
    </row>
    <row r="82" spans="1:17" ht="15.75" customHeight="1" thickBot="1" x14ac:dyDescent="0.3">
      <c r="A82" s="64"/>
      <c r="B82" s="64"/>
      <c r="C82" s="186" t="s">
        <v>166</v>
      </c>
      <c r="D82" s="64"/>
      <c r="E82" s="175"/>
      <c r="F82" s="133"/>
      <c r="G82" s="128"/>
      <c r="H82" s="128"/>
      <c r="I82" s="128"/>
      <c r="J82" s="129"/>
      <c r="K82" s="129"/>
      <c r="L82" s="129"/>
    </row>
    <row r="83" spans="1:17" ht="16.5" customHeight="1" thickTop="1" thickBot="1" x14ac:dyDescent="0.3">
      <c r="A83" s="64"/>
      <c r="B83" s="64"/>
      <c r="C83" s="185" t="s">
        <v>165</v>
      </c>
      <c r="D83" s="64"/>
      <c r="E83" s="178" t="str">
        <f>VLOOKUP($C83,TS3L1_DVD,13,FALSE)</f>
        <v/>
      </c>
      <c r="F83" s="199" t="str">
        <f>VLOOKUP($C83,TS3L1_DVD,7,FALSE)</f>
        <v/>
      </c>
      <c r="G83" s="128"/>
      <c r="H83" s="128"/>
      <c r="I83" s="128"/>
      <c r="J83" s="136">
        <f>VLOOKUP($C83,TS3L1_DVD,10,FALSE)</f>
        <v>0</v>
      </c>
      <c r="M83" s="170">
        <f>IF(Q83="",0,1)</f>
        <v>0</v>
      </c>
      <c r="O83" s="136">
        <f>VLOOKUP($C83,TS3L1_DVD,11,FALSE)</f>
        <v>0</v>
      </c>
      <c r="Q83" s="136" t="str">
        <f>VLOOKUP($C83,TS3L1_ALL,12,FALSE)</f>
        <v/>
      </c>
    </row>
    <row r="84" spans="1:17" ht="15.75" thickTop="1" x14ac:dyDescent="0.25">
      <c r="A84" s="64"/>
      <c r="B84" s="64"/>
      <c r="C84" s="177"/>
      <c r="D84" s="64"/>
      <c r="E84" s="175"/>
      <c r="F84" s="133"/>
      <c r="G84" s="128"/>
      <c r="H84" s="128"/>
      <c r="I84" s="128"/>
      <c r="J84" s="130"/>
      <c r="K84" s="129"/>
      <c r="L84" s="129"/>
    </row>
    <row r="85" spans="1:17" ht="15.75" customHeight="1" thickBot="1" x14ac:dyDescent="0.3">
      <c r="A85" s="64"/>
      <c r="B85" s="64"/>
      <c r="C85" s="186" t="s">
        <v>202</v>
      </c>
      <c r="D85" s="204" t="str">
        <f>HYPERLINK("https://convenzioni.converge.it/docs/ts3_datasheet/TS3warranty.pdf","i")</f>
        <v>i</v>
      </c>
      <c r="E85" s="175"/>
      <c r="F85" s="133"/>
      <c r="G85" s="128"/>
      <c r="H85" s="128"/>
      <c r="I85" s="128"/>
      <c r="J85" s="129"/>
      <c r="K85" s="129"/>
      <c r="L85" s="129"/>
    </row>
    <row r="86" spans="1:17" ht="16.5" customHeight="1" thickTop="1" thickBot="1" x14ac:dyDescent="0.25">
      <c r="A86" s="64"/>
      <c r="B86" s="64"/>
      <c r="C86" s="185" t="s">
        <v>176</v>
      </c>
      <c r="D86" s="204"/>
      <c r="E86" s="178" t="str">
        <f>VLOOKUP($C86,TS3L1_WARRANTY,13,FALSE)</f>
        <v/>
      </c>
      <c r="F86" s="199" t="str">
        <f>VLOOKUP($C86,TS3L1_WARRANTY,7,FALSE)</f>
        <v/>
      </c>
      <c r="G86" s="128"/>
      <c r="H86" s="128"/>
      <c r="I86" s="128"/>
      <c r="J86" s="136">
        <f>VLOOKUP($C86,TS3L1_WARRANTY,10,FALSE)</f>
        <v>0</v>
      </c>
      <c r="K86" s="136">
        <f>VLOOKUP($C86,TS3L1_WARRANTY,11,FALSE)</f>
        <v>0</v>
      </c>
      <c r="L86" s="136" t="str">
        <f>VLOOKUP($C86,TS3L1_ALL,12,FALSE)</f>
        <v/>
      </c>
    </row>
    <row r="87" spans="1:17" ht="15.75" thickTop="1" x14ac:dyDescent="0.25">
      <c r="A87" s="64"/>
      <c r="B87" s="64"/>
      <c r="C87" s="177"/>
      <c r="D87" s="64"/>
      <c r="E87" s="175"/>
      <c r="F87" s="133"/>
      <c r="G87" s="128"/>
      <c r="H87" s="128"/>
      <c r="I87" s="128"/>
      <c r="J87" s="130"/>
      <c r="K87" s="129"/>
      <c r="L87" s="129"/>
    </row>
    <row r="88" spans="1:17" ht="15.75" customHeight="1" thickBot="1" x14ac:dyDescent="0.3">
      <c r="A88" s="134"/>
      <c r="B88" s="64"/>
      <c r="C88" s="186" t="s">
        <v>192</v>
      </c>
      <c r="D88" s="204" t="str">
        <f>HYPERLINK("https://convenzioni.converge.it/docs/ts3_datasheet/DELL_HDD_KYHD.pdf","i")</f>
        <v>i</v>
      </c>
      <c r="E88" s="175"/>
      <c r="F88" s="133"/>
      <c r="G88" s="128"/>
      <c r="H88" s="128"/>
      <c r="I88" s="128"/>
      <c r="J88" s="129"/>
      <c r="K88" s="129"/>
      <c r="L88" s="129"/>
    </row>
    <row r="89" spans="1:17" ht="16.5" customHeight="1" thickTop="1" thickBot="1" x14ac:dyDescent="0.25">
      <c r="A89" s="64"/>
      <c r="B89" s="64"/>
      <c r="C89" s="185" t="s">
        <v>201</v>
      </c>
      <c r="D89" s="204"/>
      <c r="E89" s="178" t="str">
        <f>IFERROR($N$89,VLOOKUP($C89,TS3L1_ALL,13,FALSE))</f>
        <v/>
      </c>
      <c r="F89" s="199" t="str">
        <f>IF(C89="","",1)</f>
        <v/>
      </c>
      <c r="G89" s="128"/>
      <c r="H89" s="128"/>
      <c r="I89" s="128"/>
      <c r="J89" s="136">
        <f>IFERROR($O$89,VLOOKUP($C89,TS3L1_ALL,10,FALSE))</f>
        <v>0</v>
      </c>
      <c r="K89" s="136">
        <f>IFERROR($P$89,VLOOKUP($C89,TS3L1_ALL,11,FALSE))</f>
        <v>0</v>
      </c>
      <c r="L89" s="136" t="str">
        <f>IFERROR($Q$89,VLOOKUP($C89,TS3L1_ALL,12,FALSE))</f>
        <v/>
      </c>
      <c r="N89" s="87" t="e">
        <f>IF($F$86+$F$89=2,VLOOKUP("Hard Disk Retention (60 mesi)",TS3L1_ALL,13,FALSE),VLOOKUP($C89,TS3L1_ALL,13,FALSE))</f>
        <v>#VALUE!</v>
      </c>
      <c r="O89" s="87" t="e">
        <f>IF($F$86+$F$89=2,VLOOKUP("Hard Disk Retention (60 mesi)",TS3L1_ALL,10,FALSE),VLOOKUP($C89,TS3L1_ALL,10,FALSE))</f>
        <v>#VALUE!</v>
      </c>
      <c r="P89" s="87" t="e">
        <f>IF($F$86+$F$89=2,VLOOKUP("Hard Disk Retention (60 mesi)",TS3L1_ALL,11,FALSE),VLOOKUP($C89,TS3L1_ALL,11,FALSE))</f>
        <v>#VALUE!</v>
      </c>
      <c r="Q89" s="87" t="e">
        <f>IF($F$86+$F$89=2,VLOOKUP("Hard Disk Retention (60 mesi)",TS3L1_ALL,12,FALSE),VLOOKUP($C89,TS3L1_ALL,12,FALSE))</f>
        <v>#VALUE!</v>
      </c>
    </row>
    <row r="90" spans="1:17" ht="16.5" thickTop="1" thickBot="1" x14ac:dyDescent="0.3">
      <c r="A90" s="64"/>
      <c r="B90" s="64"/>
      <c r="C90" s="181"/>
      <c r="D90" s="64"/>
      <c r="E90" s="175"/>
      <c r="F90" s="175"/>
      <c r="G90" s="129"/>
      <c r="H90" s="128"/>
      <c r="I90" s="128"/>
      <c r="J90" s="130"/>
      <c r="K90" s="129"/>
      <c r="L90" s="129"/>
    </row>
    <row r="91" spans="1:17" ht="15.75" thickTop="1" x14ac:dyDescent="0.25">
      <c r="A91" s="138"/>
      <c r="B91" s="138"/>
      <c r="C91" s="195"/>
      <c r="D91" s="138"/>
      <c r="E91" s="180"/>
      <c r="F91" s="180"/>
      <c r="G91" s="139"/>
      <c r="H91" s="139"/>
      <c r="I91" s="139"/>
      <c r="J91" s="140"/>
      <c r="K91" s="139"/>
      <c r="L91" s="115"/>
    </row>
    <row r="92" spans="1:17" ht="15.75" customHeight="1" thickBot="1" x14ac:dyDescent="0.3">
      <c r="A92" s="129"/>
      <c r="B92" s="129"/>
      <c r="C92" s="186" t="s">
        <v>207</v>
      </c>
      <c r="D92" s="204" t="str">
        <f>HYPERLINK("https://convenzioni.converge.it/docs/ts3_datasheet/RPMM_UPS.pdf","i")</f>
        <v>i</v>
      </c>
      <c r="E92" s="175"/>
      <c r="F92" s="133"/>
      <c r="G92" s="128"/>
      <c r="H92" s="128"/>
      <c r="I92" s="128"/>
      <c r="J92" s="129"/>
      <c r="K92" s="129"/>
      <c r="L92" s="129"/>
    </row>
    <row r="93" spans="1:17" ht="16.5" customHeight="1" thickTop="1" thickBot="1" x14ac:dyDescent="0.25">
      <c r="A93" s="64"/>
      <c r="B93" s="64"/>
      <c r="C93" s="185" t="s">
        <v>201</v>
      </c>
      <c r="D93" s="204"/>
      <c r="E93" s="178" t="str">
        <f>VLOOKUP($C93,TS3L1_UPS,13,FALSE)</f>
        <v/>
      </c>
      <c r="F93" s="199" t="str">
        <f>VLOOKUP($C93,TS3L1_UPS,7,FALSE)</f>
        <v/>
      </c>
      <c r="G93" s="128"/>
      <c r="H93" s="128"/>
      <c r="I93" s="128"/>
      <c r="J93" s="136">
        <f>VLOOKUP($C93,TS3L1_UPS,10,FALSE)</f>
        <v>0</v>
      </c>
      <c r="K93" s="136">
        <f>VLOOKUP($C93,TS3L1_UPS,11,FALSE)</f>
        <v>0</v>
      </c>
      <c r="L93" s="136" t="str">
        <f>VLOOKUP($C93,TS3L1_ALL,12,FALSE)</f>
        <v/>
      </c>
    </row>
    <row r="94" spans="1:17" ht="15.75" thickTop="1" x14ac:dyDescent="0.25">
      <c r="A94" s="64"/>
      <c r="B94" s="64"/>
      <c r="C94" s="181"/>
      <c r="D94" s="64"/>
      <c r="E94" s="175"/>
      <c r="F94" s="175"/>
      <c r="G94" s="128"/>
      <c r="H94" s="129"/>
      <c r="I94" s="129"/>
      <c r="J94" s="130"/>
      <c r="K94" s="129"/>
      <c r="L94" s="129"/>
    </row>
    <row r="95" spans="1:17" ht="15.75" customHeight="1" thickBot="1" x14ac:dyDescent="0.3">
      <c r="A95" s="64"/>
      <c r="B95" s="134"/>
      <c r="C95" s="186" t="s">
        <v>218</v>
      </c>
      <c r="D95" s="204" t="str">
        <f>HYPERLINK("https://convenzioni.converge.it/docs/ts3_datasheet/Dell_E1916H.pdf","i")</f>
        <v>i</v>
      </c>
      <c r="E95" s="175"/>
      <c r="F95" s="133"/>
      <c r="G95" s="128"/>
      <c r="H95" s="128"/>
      <c r="I95" s="128"/>
      <c r="J95" s="129"/>
      <c r="K95" s="129"/>
      <c r="L95" s="129"/>
    </row>
    <row r="96" spans="1:17" ht="16.5" customHeight="1" thickTop="1" thickBot="1" x14ac:dyDescent="0.25">
      <c r="A96" s="64"/>
      <c r="B96" s="64"/>
      <c r="C96" s="185" t="s">
        <v>201</v>
      </c>
      <c r="D96" s="204"/>
      <c r="E96" s="178" t="str">
        <f>VLOOKUP($C96,TS3L1_GUI,13,FALSE)</f>
        <v/>
      </c>
      <c r="F96" s="199" t="str">
        <f>VLOOKUP($C96,TS3L1_GUI,7,FALSE)</f>
        <v/>
      </c>
      <c r="G96" s="128"/>
      <c r="H96" s="128"/>
      <c r="I96" s="128"/>
      <c r="J96" s="136">
        <f>VLOOKUP($C96,TS3L1_GUI,10,FALSE)</f>
        <v>0</v>
      </c>
      <c r="K96" s="136">
        <f>VLOOKUP($C96,TS3L1_GUI,11,FALSE)</f>
        <v>0</v>
      </c>
      <c r="L96" s="136" t="str">
        <f>VLOOKUP($C96,TS3L1_ALL,12,FALSE)</f>
        <v/>
      </c>
    </row>
    <row r="97" spans="1:12" ht="15.75" thickTop="1" x14ac:dyDescent="0.25">
      <c r="A97" s="64"/>
      <c r="B97" s="64"/>
      <c r="C97" s="181"/>
      <c r="D97" s="64"/>
      <c r="E97" s="175"/>
      <c r="F97" s="175"/>
      <c r="G97" s="128"/>
      <c r="H97" s="129"/>
      <c r="I97" s="129"/>
      <c r="J97" s="130"/>
      <c r="K97" s="129"/>
      <c r="L97" s="129"/>
    </row>
  </sheetData>
  <sheetProtection algorithmName="SHA-512" hashValue="zigeP09vnBDH/xRRfmBRjHOi6nFMhucr7QYiFtnFY0OPYOx89LzmzLZ1a0tTg/2bufOQdV2fKsqP3wjhrjdBsQ==" saltValue="aa8gy6tOmHETaF+L0qeCCQ==" spinCount="100000" sheet="1" objects="1" scenarios="1"/>
  <mergeCells count="10">
    <mergeCell ref="H27:H38"/>
    <mergeCell ref="D7:D8"/>
    <mergeCell ref="D10:D11"/>
    <mergeCell ref="D16:D17"/>
    <mergeCell ref="D25:D26"/>
    <mergeCell ref="D43:D44"/>
    <mergeCell ref="D85:D86"/>
    <mergeCell ref="D88:D89"/>
    <mergeCell ref="D92:D93"/>
    <mergeCell ref="D95:D96"/>
  </mergeCells>
  <conditionalFormatting sqref="E50:F50">
    <cfRule type="expression" dxfId="108" priority="91">
      <formula>$K50&gt;0</formula>
    </cfRule>
  </conditionalFormatting>
  <conditionalFormatting sqref="E53:F53">
    <cfRule type="expression" dxfId="107" priority="89">
      <formula>$K53&gt;0</formula>
    </cfRule>
  </conditionalFormatting>
  <conditionalFormatting sqref="E56:F56">
    <cfRule type="expression" dxfId="106" priority="87">
      <formula>$K56&gt;0</formula>
    </cfRule>
  </conditionalFormatting>
  <conditionalFormatting sqref="E59:F59">
    <cfRule type="expression" dxfId="105" priority="85">
      <formula>$K59&gt;0</formula>
    </cfRule>
  </conditionalFormatting>
  <conditionalFormatting sqref="E86:F86">
    <cfRule type="expression" dxfId="104" priority="79">
      <formula>$K86&gt;0</formula>
    </cfRule>
  </conditionalFormatting>
  <conditionalFormatting sqref="E38:F38">
    <cfRule type="expression" dxfId="103" priority="75">
      <formula>$K38&gt;0</formula>
    </cfRule>
  </conditionalFormatting>
  <conditionalFormatting sqref="E35:F35">
    <cfRule type="expression" dxfId="102" priority="73">
      <formula>$K35&gt;0</formula>
    </cfRule>
  </conditionalFormatting>
  <conditionalFormatting sqref="E32:F32">
    <cfRule type="expression" dxfId="101" priority="71">
      <formula>$K32&gt;0</formula>
    </cfRule>
  </conditionalFormatting>
  <conditionalFormatting sqref="E29:F29">
    <cfRule type="expression" dxfId="100" priority="69">
      <formula>$K29&gt;0</formula>
    </cfRule>
  </conditionalFormatting>
  <conditionalFormatting sqref="E23:F23">
    <cfRule type="expression" dxfId="99" priority="67">
      <formula>$K23&gt;0</formula>
    </cfRule>
  </conditionalFormatting>
  <conditionalFormatting sqref="E20">
    <cfRule type="expression" dxfId="98" priority="65">
      <formula>$K20&gt;0</formula>
    </cfRule>
  </conditionalFormatting>
  <conditionalFormatting sqref="E96:F96">
    <cfRule type="expression" dxfId="97" priority="61">
      <formula>$K96&gt;0</formula>
    </cfRule>
  </conditionalFormatting>
  <conditionalFormatting sqref="E93:F93">
    <cfRule type="expression" dxfId="96" priority="63">
      <formula>$K93&gt;0</formula>
    </cfRule>
  </conditionalFormatting>
  <conditionalFormatting sqref="E70">
    <cfRule type="expression" dxfId="95" priority="58">
      <formula>$K70&gt;0</formula>
    </cfRule>
  </conditionalFormatting>
  <conditionalFormatting sqref="F20">
    <cfRule type="expression" dxfId="94" priority="56">
      <formula>$K20&gt;0</formula>
    </cfRule>
  </conditionalFormatting>
  <conditionalFormatting sqref="F20">
    <cfRule type="expression" dxfId="93" priority="55">
      <formula>$F$20=0</formula>
    </cfRule>
  </conditionalFormatting>
  <conditionalFormatting sqref="C50">
    <cfRule type="expression" dxfId="92" priority="34">
      <formula>$K50&gt;0</formula>
    </cfRule>
  </conditionalFormatting>
  <conditionalFormatting sqref="C56">
    <cfRule type="expression" dxfId="91" priority="33">
      <formula>$K56&gt;0</formula>
    </cfRule>
  </conditionalFormatting>
  <conditionalFormatting sqref="C86">
    <cfRule type="expression" dxfId="90" priority="30">
      <formula>$K86&gt;0</formula>
    </cfRule>
  </conditionalFormatting>
  <conditionalFormatting sqref="C38">
    <cfRule type="expression" dxfId="89" priority="28">
      <formula>$K38&gt;0</formula>
    </cfRule>
  </conditionalFormatting>
  <conditionalFormatting sqref="C35">
    <cfRule type="expression" dxfId="88" priority="27">
      <formula>$K35&gt;0</formula>
    </cfRule>
  </conditionalFormatting>
  <conditionalFormatting sqref="C32">
    <cfRule type="expression" dxfId="87" priority="26">
      <formula>$K32&gt;0</formula>
    </cfRule>
  </conditionalFormatting>
  <conditionalFormatting sqref="C29">
    <cfRule type="expression" dxfId="86" priority="25">
      <formula>$K29&gt;0</formula>
    </cfRule>
  </conditionalFormatting>
  <conditionalFormatting sqref="C23">
    <cfRule type="expression" dxfId="85" priority="24">
      <formula>$K23&gt;0</formula>
    </cfRule>
  </conditionalFormatting>
  <conditionalFormatting sqref="C20">
    <cfRule type="expression" dxfId="84" priority="23">
      <formula>$K20&gt;0</formula>
    </cfRule>
  </conditionalFormatting>
  <conditionalFormatting sqref="C93">
    <cfRule type="expression" dxfId="83" priority="22">
      <formula>$K93&gt;0</formula>
    </cfRule>
  </conditionalFormatting>
  <conditionalFormatting sqref="C96">
    <cfRule type="expression" dxfId="82" priority="21">
      <formula>$K96&gt;0</formula>
    </cfRule>
  </conditionalFormatting>
  <conditionalFormatting sqref="C70">
    <cfRule type="expression" dxfId="81" priority="20">
      <formula>$K70&gt;0</formula>
    </cfRule>
  </conditionalFormatting>
  <conditionalFormatting sqref="C65">
    <cfRule type="expression" dxfId="80" priority="18">
      <formula>$K65&gt;0</formula>
    </cfRule>
  </conditionalFormatting>
  <conditionalFormatting sqref="C62">
    <cfRule type="expression" dxfId="79" priority="19">
      <formula>$K62&gt;0</formula>
    </cfRule>
  </conditionalFormatting>
  <conditionalFormatting sqref="C66">
    <cfRule type="expression" dxfId="78" priority="16">
      <formula>$K66&gt;0</formula>
    </cfRule>
  </conditionalFormatting>
  <conditionalFormatting sqref="C74:C76">
    <cfRule type="expression" dxfId="77" priority="9">
      <formula>$K74&gt;0</formula>
    </cfRule>
  </conditionalFormatting>
  <conditionalFormatting sqref="C66">
    <cfRule type="expression" dxfId="76" priority="15">
      <formula>$K66&gt;0</formula>
    </cfRule>
  </conditionalFormatting>
  <conditionalFormatting sqref="C67">
    <cfRule type="expression" dxfId="75" priority="13">
      <formula>$K67&gt;0</formula>
    </cfRule>
  </conditionalFormatting>
  <conditionalFormatting sqref="C73">
    <cfRule type="expression" dxfId="74" priority="12">
      <formula>$K73&gt;0</formula>
    </cfRule>
  </conditionalFormatting>
  <conditionalFormatting sqref="C65">
    <cfRule type="expression" dxfId="73" priority="17">
      <formula>$K65&gt;0</formula>
    </cfRule>
  </conditionalFormatting>
  <conditionalFormatting sqref="C74:C76">
    <cfRule type="expression" dxfId="72" priority="10">
      <formula>$K74&gt;0</formula>
    </cfRule>
  </conditionalFormatting>
  <conditionalFormatting sqref="C67">
    <cfRule type="expression" dxfId="71" priority="14">
      <formula>$K67&gt;0</formula>
    </cfRule>
  </conditionalFormatting>
  <conditionalFormatting sqref="C77">
    <cfRule type="expression" dxfId="70" priority="8">
      <formula>$K77&gt;0</formula>
    </cfRule>
  </conditionalFormatting>
  <conditionalFormatting sqref="C77">
    <cfRule type="expression" dxfId="69" priority="7">
      <formula>$K77&gt;0</formula>
    </cfRule>
  </conditionalFormatting>
  <conditionalFormatting sqref="C73">
    <cfRule type="expression" dxfId="68" priority="11">
      <formula>$K73&gt;0</formula>
    </cfRule>
  </conditionalFormatting>
  <conditionalFormatting sqref="C59">
    <cfRule type="expression" dxfId="67" priority="6">
      <formula>$K59&gt;0</formula>
    </cfRule>
  </conditionalFormatting>
  <conditionalFormatting sqref="C53">
    <cfRule type="expression" dxfId="66" priority="5">
      <formula>$K53&gt;0</formula>
    </cfRule>
  </conditionalFormatting>
  <conditionalFormatting sqref="C89">
    <cfRule type="expression" dxfId="65" priority="4">
      <formula>$K89&gt;0</formula>
    </cfRule>
  </conditionalFormatting>
  <conditionalFormatting sqref="E41:F41 E80:F80 E83:F83">
    <cfRule type="expression" dxfId="64" priority="94">
      <formula>$O41&gt;0</formula>
    </cfRule>
  </conditionalFormatting>
  <conditionalFormatting sqref="C80">
    <cfRule type="expression" dxfId="63" priority="3">
      <formula>$M80&gt;0</formula>
    </cfRule>
  </conditionalFormatting>
  <conditionalFormatting sqref="C83">
    <cfRule type="expression" dxfId="62" priority="2">
      <formula>$M83&gt;0</formula>
    </cfRule>
  </conditionalFormatting>
  <conditionalFormatting sqref="C41">
    <cfRule type="expression" dxfId="61" priority="1">
      <formula>$M41&gt;0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3" id="{5E2B5568-37CD-46C5-83BC-2B9EF359F3CB}">
            <xm:f>Lotto1_T340_1!$K62&gt;0</xm:f>
            <x14:dxf>
              <fill>
                <patternFill>
                  <bgColor rgb="FF92D050"/>
                </patternFill>
              </fill>
            </x14:dxf>
          </x14:cfRule>
          <xm:sqref>E65:E67 E62 E73:E77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ErrorMessage="1" prompt="Kit Graphical User Interface (GUI), costituito da un monitor da tavolo TFT 17”, con risoluzione di 1024x768, intervallo di frequenze orizzontali di almeno 30KHz-60KHz, da una tastiera e da un dispositivo di puntamento (mouse)." xr:uid="{00000000-0002-0000-0100-000000000000}">
          <x14:formula1>
            <xm:f>ConfigurationTS3L1!$A$85:$A$86</xm:f>
          </x14:formula1>
          <xm:sqref>C96</xm:sqref>
        </x14:dataValidation>
        <x14:dataValidation type="list" allowBlank="1" showErrorMessage="1" xr:uid="{00000000-0002-0000-0100-000001000000}">
          <x14:formula1>
            <xm:f>ConfigurationTS3L1!$A$81:$A$82</xm:f>
          </x14:formula1>
          <xm:sqref>C93</xm:sqref>
        </x14:dataValidation>
        <x14:dataValidation type="list" allowBlank="1" showErrorMessage="1" xr:uid="{00000000-0002-0000-0100-000002000000}">
          <x14:formula1>
            <xm:f>ConfigurationTS3L1!$A$76:$A$77</xm:f>
          </x14:formula1>
          <xm:sqref>C89</xm:sqref>
        </x14:dataValidation>
        <x14:dataValidation type="list" allowBlank="1" showErrorMessage="1" xr:uid="{00000000-0002-0000-0100-000003000000}">
          <x14:formula1>
            <xm:f>ConfigurationTS3L1!$A$72:$A$73</xm:f>
          </x14:formula1>
          <xm:sqref>C86</xm:sqref>
        </x14:dataValidation>
        <x14:dataValidation type="list" allowBlank="1" showErrorMessage="1" xr:uid="{00000000-0002-0000-0100-000004000000}">
          <x14:formula1>
            <xm:f>ConfigurationTS3L1!$A$67:$A$69</xm:f>
          </x14:formula1>
          <xm:sqref>C83</xm:sqref>
        </x14:dataValidation>
        <x14:dataValidation type="list" allowBlank="1" showErrorMessage="1" xr:uid="{00000000-0002-0000-0100-000005000000}">
          <x14:formula1>
            <xm:f>ConfigurationTS3L1!$A$62:$A$64</xm:f>
          </x14:formula1>
          <xm:sqref>C80</xm:sqref>
        </x14:dataValidation>
        <x14:dataValidation type="list" allowBlank="1" showErrorMessage="1" xr:uid="{00000000-0002-0000-0100-000006000000}">
          <x14:formula1>
            <xm:f>ConfigurationTS3L1!$A$47:$A$48</xm:f>
          </x14:formula1>
          <xm:sqref>C56 C59 C53</xm:sqref>
        </x14:dataValidation>
        <x14:dataValidation type="list" allowBlank="1" showErrorMessage="1" xr:uid="{00000000-0002-0000-0100-000007000000}">
          <x14:formula1>
            <xm:f>ConfigurationTS3L1!$A$27:$A$29</xm:f>
          </x14:formula1>
          <xm:sqref>C41</xm:sqref>
        </x14:dataValidation>
        <x14:dataValidation type="list" allowBlank="1" showErrorMessage="1" xr:uid="{00000000-0002-0000-0100-000008000000}">
          <x14:formula1>
            <xm:f>ConfigurationTS3L1!$A$18:$A$24</xm:f>
          </x14:formula1>
          <xm:sqref>C29 C32 C35 C38</xm:sqref>
        </x14:dataValidation>
        <x14:dataValidation type="list" allowBlank="1" showErrorMessage="1" xr:uid="{00000000-0002-0000-0100-000009000000}">
          <x14:formula1>
            <xm:f>ConfigurationTS3L1!$A$13:$A$15</xm:f>
          </x14:formula1>
          <xm:sqref>C23</xm:sqref>
        </x14:dataValidation>
        <x14:dataValidation type="list" allowBlank="1" showErrorMessage="1" xr:uid="{00000000-0002-0000-0100-00000A000000}">
          <x14:formula1>
            <xm:f>ConfigurationTS3L1!$A$7:$A$10</xm:f>
          </x14:formula1>
          <xm:sqref>C20</xm:sqref>
        </x14:dataValidation>
        <x14:dataValidation type="list" allowBlank="1" showErrorMessage="1" xr:uid="{00000000-0002-0000-0100-00000B000000}">
          <x14:formula1>
            <xm:f>ConfigurationTS3L1!$A$32:$A$32</xm:f>
          </x14:formula1>
          <xm:sqref>C50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theme="8" tint="0.59999389629810485"/>
  </sheetPr>
  <dimension ref="A1:Q97"/>
  <sheetViews>
    <sheetView workbookViewId="0">
      <pane ySplit="5" topLeftCell="A6" activePane="bottomLeft" state="frozen"/>
      <selection pane="bottomLeft" activeCell="F5" sqref="F5"/>
    </sheetView>
  </sheetViews>
  <sheetFormatPr defaultColWidth="0" defaultRowHeight="0" customHeight="1" zeroHeight="1" x14ac:dyDescent="0.25"/>
  <cols>
    <col min="1" max="2" width="4.5703125" style="87" customWidth="1"/>
    <col min="3" max="3" width="72.7109375" style="183" customWidth="1"/>
    <col min="4" max="4" width="10.7109375" style="87" customWidth="1"/>
    <col min="5" max="5" width="17.42578125" style="177" customWidth="1"/>
    <col min="6" max="6" width="17.140625" style="177" customWidth="1"/>
    <col min="7" max="7" width="3.5703125" style="134" customWidth="1"/>
    <col min="8" max="8" width="36" style="134" customWidth="1"/>
    <col min="9" max="9" width="0.42578125" style="134" customWidth="1"/>
    <col min="10" max="10" width="14" style="141" hidden="1" customWidth="1"/>
    <col min="11" max="12" width="9.140625" style="134" hidden="1" customWidth="1"/>
    <col min="13" max="16384" width="9.140625" style="87" hidden="1"/>
  </cols>
  <sheetData>
    <row r="1" spans="1:12" ht="15" x14ac:dyDescent="0.25">
      <c r="A1" s="64"/>
      <c r="B1" s="64"/>
      <c r="C1" s="181"/>
      <c r="D1" s="64"/>
      <c r="E1" s="172" t="s">
        <v>198</v>
      </c>
      <c r="F1" s="196">
        <f>SUM(J8:J96)*F5</f>
        <v>0</v>
      </c>
      <c r="G1" s="128"/>
      <c r="H1" s="129"/>
      <c r="I1" s="129"/>
      <c r="J1" s="130"/>
      <c r="K1" s="129"/>
      <c r="L1" s="129"/>
    </row>
    <row r="2" spans="1:12" ht="15" x14ac:dyDescent="0.25">
      <c r="A2" s="64"/>
      <c r="B2" s="64"/>
      <c r="C2" s="181"/>
      <c r="D2" s="64"/>
      <c r="E2" s="173">
        <v>0.2</v>
      </c>
      <c r="F2" s="197">
        <f>SUM(K8:K96)*F5</f>
        <v>0</v>
      </c>
      <c r="G2" s="128"/>
      <c r="H2" s="129"/>
      <c r="I2" s="129"/>
      <c r="J2" s="130"/>
      <c r="K2" s="129"/>
      <c r="L2" s="129"/>
    </row>
    <row r="3" spans="1:12" ht="15" x14ac:dyDescent="0.25">
      <c r="A3" s="64"/>
      <c r="B3" s="64"/>
      <c r="C3" s="181"/>
      <c r="D3" s="64"/>
      <c r="E3" s="174" t="s">
        <v>199</v>
      </c>
      <c r="F3" s="198">
        <f>SUM(F1:F2)</f>
        <v>0</v>
      </c>
      <c r="G3" s="128"/>
      <c r="H3" s="129"/>
      <c r="I3" s="129"/>
      <c r="J3" s="130"/>
      <c r="K3" s="129"/>
      <c r="L3" s="129"/>
    </row>
    <row r="4" spans="1:12" ht="15.75" thickBot="1" x14ac:dyDescent="0.3">
      <c r="A4" s="64"/>
      <c r="B4" s="64"/>
      <c r="C4" s="181"/>
      <c r="D4" s="64"/>
      <c r="E4" s="175"/>
      <c r="F4" s="175"/>
      <c r="G4" s="128"/>
      <c r="H4" s="129"/>
      <c r="I4" s="129"/>
      <c r="J4" s="130"/>
      <c r="K4" s="129"/>
      <c r="L4" s="129"/>
    </row>
    <row r="5" spans="1:12" ht="31.5" thickTop="1" thickBot="1" x14ac:dyDescent="0.3">
      <c r="A5" s="64"/>
      <c r="B5" s="64"/>
      <c r="C5" s="182" t="s">
        <v>399</v>
      </c>
      <c r="D5" s="202" t="str">
        <f>HYPERLINK("https://convenzioni.converge.it/docs/L1GuidaAllaConvenzioneTecnologieServer3.pdf","&amp;")</f>
        <v>&amp;</v>
      </c>
      <c r="E5" s="131" t="s">
        <v>200</v>
      </c>
      <c r="F5" s="157"/>
      <c r="G5" s="128"/>
      <c r="H5" s="132" t="str">
        <f>Riepilogo!G8</f>
        <v>Version 2.6</v>
      </c>
      <c r="I5" s="132"/>
      <c r="J5" s="130"/>
      <c r="K5" s="129"/>
      <c r="L5" s="129"/>
    </row>
    <row r="6" spans="1:12" ht="15.75" thickTop="1" x14ac:dyDescent="0.25">
      <c r="A6" s="64"/>
      <c r="B6" s="64"/>
      <c r="D6" s="64"/>
      <c r="E6" s="175"/>
      <c r="F6" s="133"/>
      <c r="G6" s="128"/>
      <c r="H6" s="129"/>
      <c r="I6" s="129"/>
      <c r="J6" s="130"/>
      <c r="K6" s="129"/>
      <c r="L6" s="129"/>
    </row>
    <row r="7" spans="1:12" ht="15.75" customHeight="1" x14ac:dyDescent="0.25">
      <c r="A7" s="134"/>
      <c r="B7" s="64"/>
      <c r="C7" s="172" t="s">
        <v>0</v>
      </c>
      <c r="D7" s="204" t="str">
        <f>HYPERLINK("https://convenzioni.converge.it/docs/ts3_datasheet/dell-emc-poweredge-t340-spec-sheet.pdf","i")</f>
        <v>i</v>
      </c>
      <c r="E7" s="175"/>
      <c r="F7" s="175"/>
      <c r="G7" s="128"/>
      <c r="H7" s="128"/>
      <c r="I7" s="128"/>
      <c r="J7" s="129"/>
      <c r="K7" s="129"/>
      <c r="L7" s="129"/>
    </row>
    <row r="8" spans="1:12" ht="16.5" customHeight="1" x14ac:dyDescent="0.25">
      <c r="A8" s="64"/>
      <c r="B8" s="64"/>
      <c r="C8" s="178" t="s">
        <v>1</v>
      </c>
      <c r="D8" s="204"/>
      <c r="E8" s="176" t="str">
        <f>IF($F$5&gt;0,"TS3L1-SRV","")</f>
        <v/>
      </c>
      <c r="F8" s="135" t="str">
        <f>IF($F$5&gt;0,1,"")</f>
        <v/>
      </c>
      <c r="G8" s="128"/>
      <c r="H8" s="128"/>
      <c r="I8" s="128"/>
      <c r="J8" s="136">
        <v>1399</v>
      </c>
      <c r="K8" s="129"/>
      <c r="L8" s="136" t="str">
        <f>VLOOKUP($C8,TS3L1_ALL,12,FALSE)</f>
        <v>L1N01</v>
      </c>
    </row>
    <row r="9" spans="1:12" ht="15" x14ac:dyDescent="0.25">
      <c r="A9" s="64"/>
      <c r="B9" s="64"/>
      <c r="C9" s="175"/>
      <c r="D9" s="64"/>
      <c r="E9" s="175"/>
      <c r="F9" s="133"/>
      <c r="G9" s="128"/>
      <c r="H9" s="128"/>
      <c r="I9" s="128"/>
      <c r="J9" s="130"/>
      <c r="K9" s="129"/>
      <c r="L9" s="129"/>
    </row>
    <row r="10" spans="1:12" ht="15.75" customHeight="1" x14ac:dyDescent="0.25">
      <c r="A10" s="64"/>
      <c r="B10" s="64"/>
      <c r="C10" s="172" t="s">
        <v>2</v>
      </c>
      <c r="D10" s="204" t="str">
        <f>HYPERLINK("https://dellservervr.dell.com/poweredge-t340/","i")</f>
        <v>i</v>
      </c>
      <c r="E10" s="175"/>
      <c r="F10" s="133"/>
      <c r="G10" s="128"/>
      <c r="H10" s="128"/>
      <c r="I10" s="128"/>
      <c r="J10" s="130"/>
      <c r="K10" s="129"/>
      <c r="L10" s="129"/>
    </row>
    <row r="11" spans="1:12" ht="16.5" customHeight="1" x14ac:dyDescent="0.25">
      <c r="A11" s="64"/>
      <c r="B11" s="64"/>
      <c r="C11" s="178" t="s">
        <v>3</v>
      </c>
      <c r="D11" s="204"/>
      <c r="F11" s="133"/>
      <c r="G11" s="128"/>
      <c r="H11" s="128"/>
      <c r="I11" s="128"/>
      <c r="J11" s="130"/>
      <c r="K11" s="129"/>
      <c r="L11" s="129"/>
    </row>
    <row r="12" spans="1:12" ht="15" x14ac:dyDescent="0.25">
      <c r="A12" s="64"/>
      <c r="B12" s="64"/>
      <c r="C12" s="175"/>
      <c r="D12" s="64"/>
      <c r="E12" s="175"/>
      <c r="F12" s="133"/>
      <c r="G12" s="128"/>
      <c r="H12" s="128"/>
      <c r="I12" s="128"/>
      <c r="J12" s="130"/>
      <c r="K12" s="129"/>
      <c r="L12" s="129"/>
    </row>
    <row r="13" spans="1:12" ht="15.75" customHeight="1" x14ac:dyDescent="0.25">
      <c r="A13" s="64"/>
      <c r="B13" s="64"/>
      <c r="C13" s="172" t="s">
        <v>4</v>
      </c>
      <c r="D13" s="64"/>
      <c r="F13" s="133"/>
      <c r="G13" s="128"/>
      <c r="H13" s="128"/>
      <c r="I13" s="128"/>
      <c r="J13" s="130"/>
      <c r="K13" s="129"/>
      <c r="L13" s="129"/>
    </row>
    <row r="14" spans="1:12" ht="16.5" customHeight="1" x14ac:dyDescent="0.25">
      <c r="A14" s="64"/>
      <c r="B14" s="64"/>
      <c r="C14" s="178" t="s">
        <v>5</v>
      </c>
      <c r="D14" s="64"/>
      <c r="E14" s="175"/>
      <c r="F14" s="133"/>
      <c r="G14" s="128"/>
      <c r="H14" s="128"/>
      <c r="I14" s="128"/>
      <c r="J14" s="130"/>
      <c r="K14" s="129"/>
      <c r="L14" s="129"/>
    </row>
    <row r="15" spans="1:12" ht="15" x14ac:dyDescent="0.25">
      <c r="A15" s="64"/>
      <c r="B15" s="64"/>
      <c r="C15" s="175"/>
      <c r="D15" s="64"/>
      <c r="E15" s="175"/>
      <c r="F15" s="133"/>
      <c r="G15" s="128"/>
      <c r="H15" s="128"/>
      <c r="I15" s="128"/>
      <c r="J15" s="130"/>
      <c r="K15" s="129"/>
      <c r="L15" s="129"/>
    </row>
    <row r="16" spans="1:12" ht="15.75" customHeight="1" x14ac:dyDescent="0.25">
      <c r="A16" s="64"/>
      <c r="B16" s="64"/>
      <c r="C16" s="172" t="s">
        <v>6</v>
      </c>
      <c r="D16" s="204" t="str">
        <f>HYPERLINK("https://ark.intel.com/content/www/it/it/ark/products/191040/intel-xeon-e-2236-processor-12m-cache-3-40-ghz.html","i")</f>
        <v>i</v>
      </c>
      <c r="E16" s="175"/>
      <c r="F16" s="133"/>
      <c r="G16" s="128"/>
      <c r="H16" s="128"/>
      <c r="I16" s="128"/>
      <c r="J16" s="130"/>
      <c r="K16" s="129"/>
      <c r="L16" s="129"/>
    </row>
    <row r="17" spans="1:12" ht="16.5" customHeight="1" x14ac:dyDescent="0.25">
      <c r="A17" s="64"/>
      <c r="B17" s="64"/>
      <c r="C17" s="178" t="s">
        <v>7</v>
      </c>
      <c r="D17" s="204"/>
      <c r="E17" s="175"/>
      <c r="F17" s="133"/>
      <c r="G17" s="128"/>
      <c r="H17" s="128"/>
      <c r="I17" s="128"/>
      <c r="J17" s="130"/>
      <c r="K17" s="129"/>
      <c r="L17" s="129"/>
    </row>
    <row r="18" spans="1:12" ht="15" x14ac:dyDescent="0.25">
      <c r="A18" s="64"/>
      <c r="B18" s="64"/>
      <c r="C18" s="175"/>
      <c r="D18" s="64"/>
      <c r="E18" s="175"/>
      <c r="F18" s="133"/>
      <c r="G18" s="128"/>
      <c r="H18" s="128"/>
      <c r="I18" s="128"/>
      <c r="J18" s="130"/>
      <c r="K18" s="129"/>
      <c r="L18" s="129"/>
    </row>
    <row r="19" spans="1:12" ht="15.75" customHeight="1" thickBot="1" x14ac:dyDescent="0.3">
      <c r="A19" s="64"/>
      <c r="B19" s="64"/>
      <c r="C19" s="172" t="s">
        <v>8</v>
      </c>
      <c r="D19" s="64"/>
      <c r="E19" s="175"/>
      <c r="F19" s="175"/>
      <c r="G19" s="128"/>
      <c r="H19" s="128"/>
      <c r="I19" s="128"/>
      <c r="J19" s="129"/>
      <c r="K19" s="129"/>
      <c r="L19" s="129"/>
    </row>
    <row r="20" spans="1:12" ht="16.5" customHeight="1" thickTop="1" thickBot="1" x14ac:dyDescent="0.3">
      <c r="A20" s="64"/>
      <c r="B20" s="64"/>
      <c r="C20" s="185" t="s">
        <v>32</v>
      </c>
      <c r="D20" s="64"/>
      <c r="E20" s="178" t="str">
        <f>VLOOKUP($C$20,TS3L1_RAM,13,FALSE)</f>
        <v/>
      </c>
      <c r="F20" s="199">
        <f>VLOOKUP($C$20,TS3L1_RAM,7,FALSE)</f>
        <v>0</v>
      </c>
      <c r="G20" s="128"/>
      <c r="H20" s="128"/>
      <c r="I20" s="128"/>
      <c r="J20" s="136">
        <f>VLOOKUP($C$20,TS3L1_RAM,10,FALSE)</f>
        <v>0</v>
      </c>
      <c r="K20" s="129"/>
      <c r="L20" s="136" t="str">
        <f>VLOOKUP($C20,TS3L1_ALL,12,FALSE)</f>
        <v/>
      </c>
    </row>
    <row r="21" spans="1:12" ht="15.75" thickTop="1" x14ac:dyDescent="0.25">
      <c r="A21" s="64"/>
      <c r="B21" s="64"/>
      <c r="D21" s="64"/>
      <c r="E21" s="175"/>
      <c r="F21" s="133"/>
      <c r="G21" s="128"/>
      <c r="H21" s="128"/>
      <c r="I21" s="128"/>
      <c r="J21" s="130"/>
      <c r="K21" s="129"/>
      <c r="L21" s="129"/>
    </row>
    <row r="22" spans="1:12" ht="15.75" customHeight="1" thickBot="1" x14ac:dyDescent="0.3">
      <c r="A22" s="64"/>
      <c r="B22" s="64"/>
      <c r="C22" s="186" t="s">
        <v>9</v>
      </c>
      <c r="D22" s="64"/>
      <c r="E22" s="175"/>
      <c r="F22" s="175"/>
      <c r="G22" s="128"/>
      <c r="H22" s="128"/>
      <c r="I22" s="128"/>
      <c r="J22" s="129"/>
      <c r="K22" s="129"/>
      <c r="L22" s="129"/>
    </row>
    <row r="23" spans="1:12" ht="16.5" customHeight="1" thickTop="1" thickBot="1" x14ac:dyDescent="0.3">
      <c r="A23" s="64"/>
      <c r="B23" s="64"/>
      <c r="C23" s="185" t="s">
        <v>43</v>
      </c>
      <c r="D23" s="64"/>
      <c r="E23" s="178" t="str">
        <f>VLOOKUP($C$23,TS3L1_OS,13,FALSE)</f>
        <v/>
      </c>
      <c r="F23" s="199" t="str">
        <f>VLOOKUP($C$23,TS3L1_OS,7,FALSE)</f>
        <v/>
      </c>
      <c r="G23" s="128"/>
      <c r="H23" s="128"/>
      <c r="I23" s="128"/>
      <c r="J23" s="136">
        <f>VLOOKUP($C$23,TS3L1_OS,10,FALSE)</f>
        <v>0</v>
      </c>
      <c r="K23" s="129"/>
      <c r="L23" s="136" t="str">
        <f>VLOOKUP($C23,TS3L1_ALL,12,FALSE)</f>
        <v/>
      </c>
    </row>
    <row r="24" spans="1:12" ht="15.75" thickTop="1" x14ac:dyDescent="0.25">
      <c r="A24" s="64"/>
      <c r="B24" s="64"/>
      <c r="C24" s="177"/>
      <c r="D24" s="64"/>
      <c r="E24" s="175"/>
      <c r="F24" s="133"/>
      <c r="G24" s="128"/>
      <c r="H24" s="128"/>
      <c r="I24" s="128"/>
      <c r="J24" s="130"/>
      <c r="K24" s="129"/>
      <c r="L24" s="129"/>
    </row>
    <row r="25" spans="1:12" ht="15.75" customHeight="1" x14ac:dyDescent="0.25">
      <c r="A25" s="64"/>
      <c r="B25" s="64"/>
      <c r="C25" s="187" t="s">
        <v>10</v>
      </c>
      <c r="D25" s="204" t="str">
        <f>HYPERLINK("https://convenzioni.converge.it/docs/ts3_datasheet/DELL_BOSS.pdf","i")</f>
        <v>i</v>
      </c>
      <c r="F25" s="133"/>
      <c r="G25" s="128"/>
      <c r="H25" s="128"/>
      <c r="I25" s="128"/>
      <c r="J25" s="130"/>
      <c r="K25" s="129"/>
      <c r="L25" s="129"/>
    </row>
    <row r="26" spans="1:12" ht="16.5" customHeight="1" thickBot="1" x14ac:dyDescent="0.3">
      <c r="A26" s="64"/>
      <c r="B26" s="64"/>
      <c r="C26" s="188" t="s">
        <v>11</v>
      </c>
      <c r="D26" s="204"/>
      <c r="E26" s="175"/>
      <c r="F26" s="133"/>
      <c r="G26" s="128"/>
      <c r="H26" s="137" t="s">
        <v>219</v>
      </c>
      <c r="I26" s="167"/>
      <c r="J26" s="130"/>
      <c r="K26" s="129"/>
      <c r="L26" s="129"/>
    </row>
    <row r="27" spans="1:12" ht="15" customHeight="1" thickTop="1" x14ac:dyDescent="0.25">
      <c r="A27" s="64"/>
      <c r="B27" s="64"/>
      <c r="C27" s="177"/>
      <c r="D27" s="64"/>
      <c r="E27" s="175"/>
      <c r="F27" s="133"/>
      <c r="G27" s="128"/>
      <c r="H27" s="205" t="s">
        <v>310</v>
      </c>
      <c r="I27" s="166"/>
      <c r="J27" s="130"/>
      <c r="K27" s="129"/>
      <c r="L27" s="129"/>
    </row>
    <row r="28" spans="1:12" ht="15.75" customHeight="1" thickBot="1" x14ac:dyDescent="0.3">
      <c r="A28" s="64"/>
      <c r="B28" s="64"/>
      <c r="C28" s="186" t="s">
        <v>12</v>
      </c>
      <c r="D28" s="64"/>
      <c r="E28" s="175"/>
      <c r="F28" s="175"/>
      <c r="G28" s="128"/>
      <c r="H28" s="206"/>
      <c r="I28" s="166"/>
      <c r="J28" s="129"/>
      <c r="K28" s="129"/>
      <c r="L28" s="129"/>
    </row>
    <row r="29" spans="1:12" ht="16.5" customHeight="1" thickTop="1" thickBot="1" x14ac:dyDescent="0.25">
      <c r="A29" s="64"/>
      <c r="B29" s="64"/>
      <c r="C29" s="185" t="s">
        <v>201</v>
      </c>
      <c r="D29" s="64"/>
      <c r="E29" s="178" t="str">
        <f>VLOOKUP($C29,TS3L1_HDD,13,FALSE)</f>
        <v/>
      </c>
      <c r="F29" s="199" t="str">
        <f>VLOOKUP($C29,TS3L1_HDD,7,FALSE)</f>
        <v/>
      </c>
      <c r="G29" s="128"/>
      <c r="H29" s="206"/>
      <c r="I29" s="166"/>
      <c r="J29" s="136">
        <f>VLOOKUP($C29,TS3L1_HDD,10,FALSE)</f>
        <v>0</v>
      </c>
      <c r="K29" s="136">
        <f>VLOOKUP($C29,TS3L1_HDD,11,FALSE)</f>
        <v>0</v>
      </c>
      <c r="L29" s="136" t="str">
        <f>VLOOKUP($C29,TS3L1_ALL,12,FALSE)</f>
        <v/>
      </c>
    </row>
    <row r="30" spans="1:12" ht="15.75" thickTop="1" x14ac:dyDescent="0.25">
      <c r="A30" s="64"/>
      <c r="B30" s="64"/>
      <c r="C30" s="175"/>
      <c r="D30" s="64"/>
      <c r="E30" s="175"/>
      <c r="F30" s="133"/>
      <c r="G30" s="128"/>
      <c r="H30" s="206"/>
      <c r="I30" s="166"/>
      <c r="J30" s="130"/>
      <c r="K30" s="129"/>
      <c r="L30" s="129"/>
    </row>
    <row r="31" spans="1:12" ht="15.75" customHeight="1" thickBot="1" x14ac:dyDescent="0.3">
      <c r="A31" s="64"/>
      <c r="B31" s="64"/>
      <c r="C31" s="186" t="s">
        <v>13</v>
      </c>
      <c r="D31" s="64"/>
      <c r="E31" s="175"/>
      <c r="F31" s="175"/>
      <c r="G31" s="128"/>
      <c r="H31" s="206"/>
      <c r="I31" s="166"/>
      <c r="J31" s="129"/>
      <c r="K31" s="129"/>
      <c r="L31" s="129"/>
    </row>
    <row r="32" spans="1:12" ht="16.5" customHeight="1" thickTop="1" thickBot="1" x14ac:dyDescent="0.25">
      <c r="A32" s="64"/>
      <c r="B32" s="64"/>
      <c r="C32" s="185" t="s">
        <v>201</v>
      </c>
      <c r="D32" s="64"/>
      <c r="E32" s="178" t="str">
        <f>VLOOKUP($C32,TS3L1_HDD,13,FALSE)</f>
        <v/>
      </c>
      <c r="F32" s="199" t="str">
        <f>VLOOKUP($C32,TS3L1_HDD,7,FALSE)</f>
        <v/>
      </c>
      <c r="G32" s="128"/>
      <c r="H32" s="206"/>
      <c r="I32" s="166"/>
      <c r="J32" s="136">
        <f>VLOOKUP($C32,TS3L1_HDD,10,FALSE)</f>
        <v>0</v>
      </c>
      <c r="K32" s="136">
        <f>VLOOKUP($C32,TS3L1_HDD,11,FALSE)</f>
        <v>0</v>
      </c>
      <c r="L32" s="136" t="str">
        <f>VLOOKUP($C32,TS3L1_ALL,12,FALSE)</f>
        <v/>
      </c>
    </row>
    <row r="33" spans="1:17" ht="15.75" thickTop="1" x14ac:dyDescent="0.25">
      <c r="A33" s="64"/>
      <c r="B33" s="64"/>
      <c r="C33" s="175"/>
      <c r="D33" s="64"/>
      <c r="E33" s="175"/>
      <c r="F33" s="133"/>
      <c r="G33" s="128"/>
      <c r="H33" s="206"/>
      <c r="I33" s="166"/>
      <c r="J33" s="130"/>
      <c r="K33" s="129"/>
      <c r="L33" s="129"/>
    </row>
    <row r="34" spans="1:17" ht="15.75" customHeight="1" thickBot="1" x14ac:dyDescent="0.3">
      <c r="A34" s="64"/>
      <c r="B34" s="64"/>
      <c r="C34" s="186" t="s">
        <v>14</v>
      </c>
      <c r="D34" s="64"/>
      <c r="E34" s="175"/>
      <c r="F34" s="175"/>
      <c r="G34" s="128"/>
      <c r="H34" s="206"/>
      <c r="I34" s="166"/>
      <c r="J34" s="129"/>
      <c r="K34" s="129"/>
      <c r="L34" s="129"/>
    </row>
    <row r="35" spans="1:17" ht="16.5" customHeight="1" thickTop="1" thickBot="1" x14ac:dyDescent="0.25">
      <c r="A35" s="64"/>
      <c r="B35" s="64"/>
      <c r="C35" s="185" t="s">
        <v>201</v>
      </c>
      <c r="D35" s="64"/>
      <c r="E35" s="178" t="str">
        <f>VLOOKUP($C35,TS3L1_HDD,13,FALSE)</f>
        <v/>
      </c>
      <c r="F35" s="199" t="str">
        <f>VLOOKUP($C35,TS3L1_HDD,7,FALSE)</f>
        <v/>
      </c>
      <c r="G35" s="128"/>
      <c r="H35" s="206"/>
      <c r="I35" s="166"/>
      <c r="J35" s="136">
        <f>VLOOKUP($C35,TS3L1_HDD,10,FALSE)</f>
        <v>0</v>
      </c>
      <c r="K35" s="136">
        <f>VLOOKUP($C35,TS3L1_HDD,11,FALSE)</f>
        <v>0</v>
      </c>
      <c r="L35" s="136" t="str">
        <f>VLOOKUP($C35,TS3L1_ALL,12,FALSE)</f>
        <v/>
      </c>
    </row>
    <row r="36" spans="1:17" ht="15.75" thickTop="1" x14ac:dyDescent="0.25">
      <c r="A36" s="64"/>
      <c r="B36" s="64"/>
      <c r="C36" s="175"/>
      <c r="D36" s="64"/>
      <c r="E36" s="175"/>
      <c r="F36" s="133"/>
      <c r="G36" s="128"/>
      <c r="H36" s="206"/>
      <c r="I36" s="166"/>
      <c r="J36" s="130"/>
      <c r="K36" s="129"/>
      <c r="L36" s="129"/>
    </row>
    <row r="37" spans="1:17" ht="15.75" customHeight="1" thickBot="1" x14ac:dyDescent="0.3">
      <c r="A37" s="64"/>
      <c r="B37" s="64"/>
      <c r="C37" s="186" t="s">
        <v>16</v>
      </c>
      <c r="D37" s="64"/>
      <c r="E37" s="175"/>
      <c r="F37" s="175"/>
      <c r="G37" s="128"/>
      <c r="H37" s="206"/>
      <c r="I37" s="166"/>
      <c r="J37" s="129"/>
      <c r="K37" s="129"/>
      <c r="L37" s="129"/>
    </row>
    <row r="38" spans="1:17" ht="16.5" customHeight="1" thickTop="1" thickBot="1" x14ac:dyDescent="0.25">
      <c r="A38" s="64"/>
      <c r="B38" s="64"/>
      <c r="C38" s="185" t="s">
        <v>201</v>
      </c>
      <c r="D38" s="64"/>
      <c r="E38" s="178" t="str">
        <f>VLOOKUP($C38,TS3L1_HDD,13,FALSE)</f>
        <v/>
      </c>
      <c r="F38" s="199" t="str">
        <f>VLOOKUP($C38,TS3L1_HDD,7,FALSE)</f>
        <v/>
      </c>
      <c r="G38" s="128"/>
      <c r="H38" s="207"/>
      <c r="I38" s="166"/>
      <c r="J38" s="136">
        <f>VLOOKUP($C38,TS3L1_HDD,10,FALSE)</f>
        <v>0</v>
      </c>
      <c r="K38" s="136">
        <f>VLOOKUP($C38,TS3L1_HDD,11,FALSE)</f>
        <v>0</v>
      </c>
      <c r="L38" s="136" t="str">
        <f>VLOOKUP($C38,TS3L1_ALL,12,FALSE)</f>
        <v/>
      </c>
    </row>
    <row r="39" spans="1:17" ht="15.75" thickTop="1" x14ac:dyDescent="0.25">
      <c r="A39" s="64"/>
      <c r="B39" s="64"/>
      <c r="C39" s="175"/>
      <c r="D39" s="64"/>
      <c r="E39" s="175"/>
      <c r="F39" s="133"/>
      <c r="G39" s="128"/>
      <c r="H39" s="128"/>
      <c r="I39" s="128"/>
      <c r="J39" s="130"/>
      <c r="K39" s="129"/>
      <c r="L39" s="129"/>
    </row>
    <row r="40" spans="1:17" ht="15.75" customHeight="1" thickBot="1" x14ac:dyDescent="0.3">
      <c r="A40" s="64"/>
      <c r="B40" s="64"/>
      <c r="C40" s="186" t="s">
        <v>15</v>
      </c>
      <c r="D40" s="64"/>
      <c r="E40" s="175"/>
      <c r="F40" s="175"/>
      <c r="G40" s="128"/>
      <c r="H40" s="128"/>
      <c r="I40" s="128"/>
      <c r="J40" s="129"/>
      <c r="K40" s="129"/>
      <c r="L40" s="129"/>
    </row>
    <row r="41" spans="1:17" ht="16.5" customHeight="1" thickTop="1" thickBot="1" x14ac:dyDescent="0.3">
      <c r="A41" s="134"/>
      <c r="B41" s="64"/>
      <c r="C41" s="185" t="s">
        <v>96</v>
      </c>
      <c r="D41" s="64"/>
      <c r="E41" s="178" t="str">
        <f>VLOOKUP($C41,TS3L1_PSU,13,FALSE)</f>
        <v/>
      </c>
      <c r="F41" s="199" t="str">
        <f>VLOOKUP($C41,TS3L1_PSU,7,FALSE)</f>
        <v/>
      </c>
      <c r="G41" s="128"/>
      <c r="H41" s="128"/>
      <c r="I41" s="128"/>
      <c r="J41" s="136">
        <f>VLOOKUP($C41,TS3L1_PSU,10,FALSE)</f>
        <v>0</v>
      </c>
      <c r="L41" s="134">
        <f>IF((M41+M80+M83)&gt;0,"L1N18",0)</f>
        <v>0</v>
      </c>
      <c r="M41" s="170">
        <f>IF(Q41="",0,1)</f>
        <v>0</v>
      </c>
      <c r="N41" s="171" t="e">
        <f>(M41+M80+M83)/(M41+M80+M83)</f>
        <v>#DIV/0!</v>
      </c>
      <c r="O41" s="136">
        <f>VLOOKUP($C41,TS3L1_PSU,11,FALSE)</f>
        <v>0</v>
      </c>
      <c r="P41" s="170" t="e">
        <f>N42/N41</f>
        <v>#DIV/0!</v>
      </c>
      <c r="Q41" s="136" t="str">
        <f>VLOOKUP($C41,TS3L1_ALL,12,FALSE)</f>
        <v/>
      </c>
    </row>
    <row r="42" spans="1:17" ht="15.75" thickTop="1" x14ac:dyDescent="0.25">
      <c r="A42" s="64"/>
      <c r="B42" s="64"/>
      <c r="C42" s="175"/>
      <c r="D42" s="64"/>
      <c r="E42" s="175"/>
      <c r="F42" s="133"/>
      <c r="G42" s="128"/>
      <c r="H42" s="128"/>
      <c r="I42" s="128"/>
      <c r="J42" s="130"/>
      <c r="K42" s="134">
        <f>IFERROR(N42,0)</f>
        <v>0</v>
      </c>
      <c r="L42" s="129" t="str">
        <f>IF(Q41="L1N18","TS3L12PSU","TS3L11PSU")</f>
        <v>TS3L11PSU</v>
      </c>
      <c r="N42" s="170" t="e">
        <f>(O41+O80+O83)/(M41+M80+M83)</f>
        <v>#DIV/0!</v>
      </c>
    </row>
    <row r="43" spans="1:17" ht="15.75" customHeight="1" x14ac:dyDescent="0.25">
      <c r="A43" s="64"/>
      <c r="B43" s="64"/>
      <c r="C43" s="131" t="s">
        <v>193</v>
      </c>
      <c r="D43" s="204" t="str">
        <f>HYPERLINK("https://convenzioni.converge.it/docs/ts3_datasheet/idrac-spec-sheet.pdf","i")</f>
        <v>i</v>
      </c>
      <c r="E43" s="175"/>
      <c r="F43" s="133"/>
      <c r="G43" s="128"/>
      <c r="H43" s="128"/>
      <c r="I43" s="128"/>
      <c r="J43" s="129"/>
      <c r="K43" s="129"/>
      <c r="L43" s="129"/>
    </row>
    <row r="44" spans="1:17" ht="16.5" customHeight="1" x14ac:dyDescent="0.25">
      <c r="A44" s="64"/>
      <c r="B44" s="64"/>
      <c r="C44" s="176" t="s">
        <v>194</v>
      </c>
      <c r="D44" s="204"/>
      <c r="E44" s="175"/>
      <c r="F44" s="133"/>
      <c r="G44" s="128"/>
      <c r="H44" s="128"/>
      <c r="I44" s="128"/>
      <c r="J44" s="130"/>
      <c r="K44" s="129"/>
      <c r="L44" s="129"/>
    </row>
    <row r="45" spans="1:17" ht="15" x14ac:dyDescent="0.25">
      <c r="A45" s="64"/>
      <c r="B45" s="64"/>
      <c r="C45" s="175"/>
      <c r="D45" s="64"/>
      <c r="E45" s="175"/>
      <c r="F45" s="133"/>
      <c r="G45" s="128"/>
      <c r="H45" s="128"/>
      <c r="I45" s="128"/>
      <c r="J45" s="129"/>
      <c r="K45" s="129"/>
      <c r="L45" s="129"/>
    </row>
    <row r="46" spans="1:17" ht="15.75" customHeight="1" x14ac:dyDescent="0.25">
      <c r="A46" s="64"/>
      <c r="B46" s="64"/>
      <c r="C46" s="131" t="s">
        <v>195</v>
      </c>
      <c r="D46" s="64"/>
      <c r="E46" s="175"/>
      <c r="F46" s="133"/>
      <c r="G46" s="128"/>
      <c r="H46" s="128"/>
      <c r="I46" s="128"/>
      <c r="J46" s="130"/>
      <c r="K46" s="129"/>
      <c r="L46" s="129"/>
    </row>
    <row r="47" spans="1:17" ht="16.5" customHeight="1" x14ac:dyDescent="0.25">
      <c r="A47" s="64"/>
      <c r="B47" s="64"/>
      <c r="C47" s="176" t="s">
        <v>196</v>
      </c>
      <c r="D47" s="64"/>
      <c r="E47" s="175"/>
      <c r="F47" s="133"/>
      <c r="G47" s="128"/>
      <c r="H47" s="128"/>
      <c r="I47" s="128"/>
      <c r="J47" s="129"/>
      <c r="K47" s="129"/>
      <c r="L47" s="129"/>
    </row>
    <row r="48" spans="1:17" ht="15" x14ac:dyDescent="0.25">
      <c r="A48" s="64"/>
      <c r="B48" s="64"/>
      <c r="C48" s="189"/>
      <c r="D48" s="64"/>
      <c r="E48" s="175"/>
      <c r="F48" s="133"/>
      <c r="G48" s="128"/>
      <c r="H48" s="128"/>
      <c r="I48" s="128"/>
      <c r="J48" s="130"/>
      <c r="K48" s="129"/>
      <c r="L48" s="129"/>
    </row>
    <row r="49" spans="1:12" ht="15.75" customHeight="1" x14ac:dyDescent="0.25">
      <c r="A49" s="64"/>
      <c r="B49" s="64"/>
      <c r="C49" s="190" t="s">
        <v>197</v>
      </c>
      <c r="D49" s="64"/>
      <c r="E49" s="175"/>
      <c r="F49" s="133"/>
      <c r="G49" s="128"/>
      <c r="H49" s="128"/>
      <c r="I49" s="128"/>
      <c r="J49" s="129"/>
      <c r="K49" s="129"/>
      <c r="L49" s="129"/>
    </row>
    <row r="50" spans="1:12" ht="16.5" customHeight="1" x14ac:dyDescent="0.2">
      <c r="A50" s="64"/>
      <c r="B50" s="64"/>
      <c r="C50" s="191" t="s">
        <v>152</v>
      </c>
      <c r="D50" s="64"/>
      <c r="E50" s="178" t="str">
        <f>VLOOKUP($C50,TS3L1_PCI1,13,FALSE)</f>
        <v/>
      </c>
      <c r="F50" s="199" t="str">
        <f>VLOOKUP($C50,TS3L1_PCI1,7,FALSE)</f>
        <v/>
      </c>
      <c r="G50" s="128"/>
      <c r="H50" s="128"/>
      <c r="I50" s="128"/>
      <c r="J50" s="136">
        <f>VLOOKUP($C50,TS3L1_PCI1,10,FALSE)</f>
        <v>0</v>
      </c>
      <c r="K50" s="136">
        <f>VLOOKUP($C50,TS3L1_PCI1,11,FALSE)</f>
        <v>0</v>
      </c>
      <c r="L50" s="136" t="str">
        <f>VLOOKUP($C50,TS3L1_ALL,12,FALSE)</f>
        <v/>
      </c>
    </row>
    <row r="51" spans="1:12" ht="15" x14ac:dyDescent="0.25">
      <c r="A51" s="64"/>
      <c r="B51" s="64"/>
      <c r="D51" s="64"/>
      <c r="E51" s="175"/>
      <c r="F51" s="133"/>
      <c r="G51" s="128"/>
      <c r="H51" s="128"/>
      <c r="I51" s="128"/>
      <c r="J51" s="130"/>
      <c r="K51" s="129"/>
      <c r="L51" s="129"/>
    </row>
    <row r="52" spans="1:12" ht="15.75" customHeight="1" thickBot="1" x14ac:dyDescent="0.3">
      <c r="A52" s="64"/>
      <c r="B52" s="64"/>
      <c r="C52" s="192" t="s">
        <v>205</v>
      </c>
      <c r="D52" s="64"/>
      <c r="E52" s="175"/>
      <c r="F52" s="133"/>
      <c r="G52" s="128"/>
      <c r="H52" s="128"/>
      <c r="I52" s="128"/>
      <c r="J52" s="129"/>
      <c r="K52" s="129"/>
      <c r="L52" s="129"/>
    </row>
    <row r="53" spans="1:12" ht="16.5" customHeight="1" thickTop="1" thickBot="1" x14ac:dyDescent="0.25">
      <c r="A53" s="64"/>
      <c r="B53" s="64"/>
      <c r="C53" s="185" t="s">
        <v>201</v>
      </c>
      <c r="D53" s="64"/>
      <c r="E53" s="178" t="str">
        <f>VLOOKUP($C53,TS3L1_PCI2,13,FALSE)</f>
        <v/>
      </c>
      <c r="F53" s="199" t="str">
        <f>VLOOKUP($C53,TS3L1_PCI2,7,FALSE)</f>
        <v/>
      </c>
      <c r="G53" s="128"/>
      <c r="H53" s="128"/>
      <c r="I53" s="128"/>
      <c r="J53" s="136">
        <f>VLOOKUP($C53,TS3L1_PCI2,10,FALSE)</f>
        <v>0</v>
      </c>
      <c r="K53" s="136">
        <f>VLOOKUP($C53,TS3L1_PCI2,11,FALSE)</f>
        <v>0</v>
      </c>
      <c r="L53" s="136" t="str">
        <f>VLOOKUP($C53,TS3L1_ALL,12,FALSE)</f>
        <v/>
      </c>
    </row>
    <row r="54" spans="1:12" ht="15.75" thickTop="1" x14ac:dyDescent="0.25">
      <c r="A54" s="64"/>
      <c r="B54" s="64"/>
      <c r="D54" s="64"/>
      <c r="E54" s="175"/>
      <c r="F54" s="133"/>
      <c r="G54" s="128"/>
      <c r="H54" s="128"/>
      <c r="I54" s="128"/>
      <c r="J54" s="130"/>
      <c r="K54" s="129"/>
      <c r="L54" s="129"/>
    </row>
    <row r="55" spans="1:12" ht="15.75" customHeight="1" thickBot="1" x14ac:dyDescent="0.3">
      <c r="A55" s="64"/>
      <c r="B55" s="64"/>
      <c r="C55" s="192" t="s">
        <v>204</v>
      </c>
      <c r="D55" s="64"/>
      <c r="E55" s="175"/>
      <c r="F55" s="133"/>
      <c r="G55" s="128"/>
      <c r="H55" s="128"/>
      <c r="I55" s="128"/>
      <c r="J55" s="129"/>
      <c r="K55" s="129"/>
      <c r="L55" s="129"/>
    </row>
    <row r="56" spans="1:12" ht="16.5" customHeight="1" thickTop="1" thickBot="1" x14ac:dyDescent="0.25">
      <c r="A56" s="64"/>
      <c r="B56" s="64"/>
      <c r="C56" s="185" t="s">
        <v>201</v>
      </c>
      <c r="D56" s="64"/>
      <c r="E56" s="178" t="str">
        <f>VLOOKUP($C56,TS3L1_PCI3,13,FALSE)</f>
        <v/>
      </c>
      <c r="F56" s="199" t="str">
        <f>VLOOKUP($C56,TS3L1_PCI3,7,FALSE)</f>
        <v/>
      </c>
      <c r="G56" s="128"/>
      <c r="H56" s="128"/>
      <c r="I56" s="128"/>
      <c r="J56" s="136">
        <f>VLOOKUP($C56,TS3L1_PCI3,10,FALSE)</f>
        <v>0</v>
      </c>
      <c r="K56" s="136">
        <f>VLOOKUP($C56,TS3L1_PCI3,11,FALSE)</f>
        <v>0</v>
      </c>
      <c r="L56" s="136" t="str">
        <f>VLOOKUP($C56,TS3L1_ALL,12,FALSE)</f>
        <v/>
      </c>
    </row>
    <row r="57" spans="1:12" ht="15.75" thickTop="1" x14ac:dyDescent="0.25">
      <c r="A57" s="64"/>
      <c r="B57" s="64"/>
      <c r="D57" s="64"/>
      <c r="E57" s="175"/>
      <c r="F57" s="133"/>
      <c r="G57" s="128"/>
      <c r="H57" s="128"/>
      <c r="I57" s="128"/>
      <c r="J57" s="130"/>
      <c r="K57" s="129"/>
      <c r="L57" s="129"/>
    </row>
    <row r="58" spans="1:12" ht="15.75" customHeight="1" thickBot="1" x14ac:dyDescent="0.3">
      <c r="A58" s="64"/>
      <c r="B58" s="64"/>
      <c r="C58" s="192" t="s">
        <v>203</v>
      </c>
      <c r="D58" s="64"/>
      <c r="E58" s="175"/>
      <c r="F58" s="133"/>
      <c r="G58" s="128"/>
      <c r="H58" s="128"/>
      <c r="I58" s="128"/>
      <c r="J58" s="129"/>
      <c r="K58" s="129"/>
      <c r="L58" s="129"/>
    </row>
    <row r="59" spans="1:12" ht="16.5" customHeight="1" thickTop="1" thickBot="1" x14ac:dyDescent="0.25">
      <c r="A59" s="64"/>
      <c r="B59" s="64"/>
      <c r="C59" s="185" t="s">
        <v>201</v>
      </c>
      <c r="D59" s="64"/>
      <c r="E59" s="178" t="str">
        <f>VLOOKUP($C59,TS3L1_PCI4,13,FALSE)</f>
        <v/>
      </c>
      <c r="F59" s="199" t="str">
        <f>VLOOKUP($C59,TS3L1_PCI4,7,FALSE)</f>
        <v/>
      </c>
      <c r="G59" s="128"/>
      <c r="H59" s="128"/>
      <c r="I59" s="128"/>
      <c r="J59" s="136">
        <f>VLOOKUP($C59,TS3L1_PCI4,10,FALSE)</f>
        <v>0</v>
      </c>
      <c r="K59" s="136">
        <f>VLOOKUP($C59,TS3L1_PCI4,11,FALSE)</f>
        <v>0</v>
      </c>
      <c r="L59" s="136" t="str">
        <f>VLOOKUP($C59,TS3L1_ALL,12,FALSE)</f>
        <v/>
      </c>
    </row>
    <row r="60" spans="1:12" ht="15.75" thickTop="1" x14ac:dyDescent="0.25">
      <c r="A60" s="64"/>
      <c r="B60" s="64"/>
      <c r="C60" s="193"/>
      <c r="D60" s="64"/>
      <c r="E60" s="175"/>
      <c r="F60" s="133"/>
      <c r="G60" s="128"/>
      <c r="H60" s="128"/>
      <c r="I60" s="128"/>
      <c r="J60" s="130"/>
      <c r="K60" s="129"/>
      <c r="L60" s="129"/>
    </row>
    <row r="61" spans="1:12" ht="15" hidden="1" x14ac:dyDescent="0.25">
      <c r="A61" s="64"/>
      <c r="B61" s="64"/>
      <c r="C61" s="190" t="s">
        <v>331</v>
      </c>
      <c r="D61" s="64"/>
      <c r="E61" s="175"/>
      <c r="F61" s="151" t="s">
        <v>273</v>
      </c>
      <c r="G61" s="128"/>
      <c r="H61" s="128"/>
      <c r="I61" s="128"/>
      <c r="J61" s="130"/>
      <c r="K61" s="129"/>
      <c r="L61" s="129"/>
    </row>
    <row r="62" spans="1:12" ht="12.75" hidden="1" x14ac:dyDescent="0.2">
      <c r="A62" s="64"/>
      <c r="B62" s="64"/>
      <c r="C62" s="194" t="s">
        <v>332</v>
      </c>
      <c r="D62" s="64"/>
      <c r="E62" s="178" t="str">
        <f>IF(K62&gt;0,VLOOKUP($C62,TS3L1_ALL,13,FALSE),"")</f>
        <v/>
      </c>
      <c r="F62" s="200"/>
      <c r="G62" s="128"/>
      <c r="H62" s="128"/>
      <c r="I62" s="128"/>
      <c r="J62" s="136"/>
      <c r="K62" s="136">
        <f>VLOOKUP($C62,TS3L1_ALL,11,FALSE)*F62</f>
        <v>0</v>
      </c>
      <c r="L62" s="136" t="str">
        <f>VLOOKUP($C62,TS3L1_ALL,12,FALSE)</f>
        <v>L1N34</v>
      </c>
    </row>
    <row r="63" spans="1:12" ht="15" hidden="1" x14ac:dyDescent="0.25">
      <c r="A63" s="64"/>
      <c r="B63" s="64"/>
      <c r="C63" s="193"/>
      <c r="D63" s="64"/>
      <c r="E63" s="175"/>
      <c r="F63" s="133"/>
      <c r="G63" s="128"/>
      <c r="H63" s="128"/>
      <c r="I63" s="128"/>
      <c r="J63" s="130"/>
      <c r="K63" s="129"/>
      <c r="L63" s="129"/>
    </row>
    <row r="64" spans="1:12" ht="15" hidden="1" x14ac:dyDescent="0.25">
      <c r="A64" s="64"/>
      <c r="B64" s="64"/>
      <c r="C64" s="190" t="s">
        <v>333</v>
      </c>
      <c r="D64" s="64"/>
      <c r="E64" s="175"/>
      <c r="F64" s="151" t="s">
        <v>273</v>
      </c>
      <c r="G64" s="128"/>
      <c r="H64" s="128"/>
      <c r="I64" s="128"/>
      <c r="J64" s="130"/>
      <c r="K64" s="129"/>
      <c r="L64" s="129"/>
    </row>
    <row r="65" spans="1:17" ht="12.75" hidden="1" x14ac:dyDescent="0.2">
      <c r="A65" s="64"/>
      <c r="B65" s="64"/>
      <c r="C65" s="194" t="s">
        <v>334</v>
      </c>
      <c r="D65" s="64"/>
      <c r="E65" s="178" t="str">
        <f>IF(K65&gt;0,VLOOKUP($C65,TS3L1_ALL,13,FALSE),"")</f>
        <v/>
      </c>
      <c r="F65" s="200"/>
      <c r="G65" s="128"/>
      <c r="H65" s="128"/>
      <c r="I65" s="128"/>
      <c r="J65" s="136"/>
      <c r="K65" s="136">
        <f>VLOOKUP($C65,TS3L1_ALL,11,FALSE)*F65</f>
        <v>0</v>
      </c>
      <c r="L65" s="136" t="str">
        <f>VLOOKUP($C65,TS3L1_ALL,12,FALSE)</f>
        <v>L1N35</v>
      </c>
    </row>
    <row r="66" spans="1:17" ht="12.75" hidden="1" x14ac:dyDescent="0.2">
      <c r="A66" s="64"/>
      <c r="B66" s="64"/>
      <c r="C66" s="194" t="s">
        <v>335</v>
      </c>
      <c r="D66" s="64"/>
      <c r="E66" s="178" t="str">
        <f>IF(K66&gt;0,VLOOKUP($C66,TS3L1_ALL,13,FALSE),"")</f>
        <v/>
      </c>
      <c r="F66" s="200"/>
      <c r="G66" s="128"/>
      <c r="H66" s="128"/>
      <c r="I66" s="128"/>
      <c r="J66" s="136"/>
      <c r="K66" s="136">
        <f>VLOOKUP($C66,TS3L1_ALL,11,FALSE)*F66</f>
        <v>0</v>
      </c>
      <c r="L66" s="136" t="str">
        <f>VLOOKUP($C66,TS3L1_ALL,12,FALSE)</f>
        <v>L1N36</v>
      </c>
    </row>
    <row r="67" spans="1:17" ht="12.75" hidden="1" x14ac:dyDescent="0.2">
      <c r="A67" s="64"/>
      <c r="B67" s="64"/>
      <c r="C67" s="194" t="s">
        <v>336</v>
      </c>
      <c r="D67" s="64"/>
      <c r="E67" s="178" t="str">
        <f>IF(K67&gt;0,VLOOKUP($C67,TS3L1_ALL,13,FALSE),"")</f>
        <v/>
      </c>
      <c r="F67" s="200"/>
      <c r="G67" s="128"/>
      <c r="H67" s="128"/>
      <c r="I67" s="128"/>
      <c r="J67" s="136"/>
      <c r="K67" s="136">
        <f>VLOOKUP($C67,TS3L1_ALL,11,FALSE)*F67</f>
        <v>0</v>
      </c>
      <c r="L67" s="136" t="str">
        <f>VLOOKUP($C67,TS3L1_ALL,12,FALSE)</f>
        <v>L1N37</v>
      </c>
    </row>
    <row r="68" spans="1:17" ht="14.25" hidden="1" customHeight="1" x14ac:dyDescent="0.25">
      <c r="A68" s="64"/>
      <c r="B68" s="64"/>
      <c r="C68" s="193"/>
      <c r="D68" s="64"/>
      <c r="E68" s="175"/>
      <c r="F68" s="133"/>
      <c r="G68" s="128"/>
      <c r="H68" s="128"/>
      <c r="I68" s="128"/>
      <c r="J68" s="130"/>
      <c r="K68" s="129"/>
      <c r="L68" s="129"/>
    </row>
    <row r="69" spans="1:17" ht="15.75" customHeight="1" thickBot="1" x14ac:dyDescent="0.3">
      <c r="A69" s="64"/>
      <c r="B69" s="64"/>
      <c r="C69" s="190" t="s">
        <v>337</v>
      </c>
      <c r="D69" s="64"/>
      <c r="E69" s="175"/>
      <c r="F69" s="133"/>
      <c r="G69" s="128"/>
      <c r="H69" s="128"/>
      <c r="I69" s="128"/>
      <c r="J69" s="130"/>
      <c r="K69" s="129"/>
      <c r="L69" s="129"/>
    </row>
    <row r="70" spans="1:17" ht="16.5" customHeight="1" thickTop="1" thickBot="1" x14ac:dyDescent="0.25">
      <c r="A70" s="64"/>
      <c r="B70" s="64"/>
      <c r="C70" s="191" t="s">
        <v>320</v>
      </c>
      <c r="D70" s="64"/>
      <c r="E70" s="178" t="str">
        <f>IF(K70&gt;0,VLOOKUP($C70,ConfigurationTS3L1!A58:M58,13,FALSE),"")</f>
        <v>TS3L1-RJ453M</v>
      </c>
      <c r="F70" s="201">
        <v>3</v>
      </c>
      <c r="G70" s="128"/>
      <c r="H70" s="128"/>
      <c r="I70" s="128"/>
      <c r="J70" s="136">
        <v>0</v>
      </c>
      <c r="K70" s="136">
        <f>IF(F70&gt;0,(F70)*ConfigurationTS3L1!K58,0)</f>
        <v>9</v>
      </c>
      <c r="L70" s="136" t="str">
        <f>VLOOKUP($C70,TS3L1_ALL,12,FALSE)</f>
        <v>L1N26</v>
      </c>
    </row>
    <row r="71" spans="1:17" ht="15.75" thickTop="1" x14ac:dyDescent="0.25">
      <c r="A71" s="64"/>
      <c r="B71" s="64"/>
      <c r="C71" s="193"/>
      <c r="D71" s="64"/>
      <c r="E71" s="175"/>
      <c r="F71" s="133"/>
      <c r="G71" s="128"/>
      <c r="H71" s="128"/>
      <c r="I71" s="128"/>
      <c r="J71" s="130"/>
      <c r="K71" s="129"/>
      <c r="L71" s="129"/>
    </row>
    <row r="72" spans="1:17" ht="15" hidden="1" x14ac:dyDescent="0.25">
      <c r="A72" s="64"/>
      <c r="B72" s="64"/>
      <c r="C72" s="190" t="s">
        <v>338</v>
      </c>
      <c r="D72" s="64"/>
      <c r="E72" s="175"/>
      <c r="F72" s="151" t="s">
        <v>273</v>
      </c>
      <c r="G72" s="128"/>
      <c r="H72" s="128"/>
      <c r="I72" s="128"/>
      <c r="J72" s="130"/>
      <c r="K72" s="129"/>
      <c r="L72" s="129"/>
    </row>
    <row r="73" spans="1:17" ht="12.75" hidden="1" x14ac:dyDescent="0.2">
      <c r="A73" s="64"/>
      <c r="B73" s="64"/>
      <c r="C73" s="194" t="s">
        <v>339</v>
      </c>
      <c r="D73" s="64"/>
      <c r="E73" s="178" t="str">
        <f>IF(K73&gt;0,VLOOKUP($C73,TS3L1_ALL,13,FALSE),"")</f>
        <v/>
      </c>
      <c r="F73" s="200"/>
      <c r="G73" s="128"/>
      <c r="H73" s="128"/>
      <c r="I73" s="128"/>
      <c r="J73" s="136"/>
      <c r="K73" s="136">
        <f>VLOOKUP($C73,TS3L1_ALL,11,FALSE)*F73</f>
        <v>0</v>
      </c>
      <c r="L73" s="136" t="str">
        <f>VLOOKUP($C73,TS3L1_ALL,12,FALSE)</f>
        <v>L1N29</v>
      </c>
    </row>
    <row r="74" spans="1:17" ht="12.75" hidden="1" x14ac:dyDescent="0.2">
      <c r="A74" s="64"/>
      <c r="B74" s="64"/>
      <c r="C74" s="194" t="s">
        <v>340</v>
      </c>
      <c r="D74" s="64"/>
      <c r="E74" s="178" t="str">
        <f>IF(K74&gt;0,VLOOKUP($C74,TS3L1_ALL,13,FALSE),"")</f>
        <v/>
      </c>
      <c r="F74" s="200"/>
      <c r="G74" s="128"/>
      <c r="H74" s="128"/>
      <c r="I74" s="128"/>
      <c r="J74" s="136"/>
      <c r="K74" s="136">
        <f>VLOOKUP($C74,TS3L1_ALL,11,FALSE)*F74</f>
        <v>0</v>
      </c>
      <c r="L74" s="136" t="str">
        <f>VLOOKUP($C74,TS3L1_ALL,12,FALSE)</f>
        <v>L1N30</v>
      </c>
    </row>
    <row r="75" spans="1:17" ht="12.75" hidden="1" x14ac:dyDescent="0.2">
      <c r="A75" s="64"/>
      <c r="B75" s="64"/>
      <c r="C75" s="194" t="s">
        <v>341</v>
      </c>
      <c r="D75" s="64"/>
      <c r="E75" s="178" t="str">
        <f>IF(K75&gt;0,VLOOKUP($C75,TS3L1_ALL,13,FALSE),"")</f>
        <v/>
      </c>
      <c r="F75" s="200"/>
      <c r="G75" s="128"/>
      <c r="H75" s="128"/>
      <c r="I75" s="128"/>
      <c r="J75" s="136"/>
      <c r="K75" s="136">
        <f>VLOOKUP($C75,TS3L1_ALL,11,FALSE)*F75</f>
        <v>0</v>
      </c>
      <c r="L75" s="136" t="str">
        <f>VLOOKUP($C75,TS3L1_ALL,12,FALSE)</f>
        <v>L1N31</v>
      </c>
    </row>
    <row r="76" spans="1:17" ht="12.75" hidden="1" x14ac:dyDescent="0.2">
      <c r="A76" s="64"/>
      <c r="B76" s="64"/>
      <c r="C76" s="194" t="s">
        <v>342</v>
      </c>
      <c r="D76" s="64"/>
      <c r="E76" s="178" t="str">
        <f>IF(K76&gt;0,VLOOKUP($C76,TS3L1_ALL,13,FALSE),"")</f>
        <v/>
      </c>
      <c r="F76" s="200"/>
      <c r="G76" s="128"/>
      <c r="H76" s="128"/>
      <c r="I76" s="128"/>
      <c r="J76" s="136"/>
      <c r="K76" s="136">
        <f>VLOOKUP($C76,TS3L1_ALL,11,FALSE)*F76</f>
        <v>0</v>
      </c>
      <c r="L76" s="136" t="str">
        <f>VLOOKUP($C76,TS3L1_ALL,12,FALSE)</f>
        <v>L1N32</v>
      </c>
    </row>
    <row r="77" spans="1:17" ht="12.75" hidden="1" x14ac:dyDescent="0.2">
      <c r="A77" s="64"/>
      <c r="B77" s="64"/>
      <c r="C77" s="194" t="s">
        <v>343</v>
      </c>
      <c r="D77" s="64"/>
      <c r="E77" s="178" t="str">
        <f>IF(K77&gt;0,VLOOKUP($C77,TS3L1_ALL,13,FALSE),"")</f>
        <v/>
      </c>
      <c r="F77" s="200"/>
      <c r="G77" s="128"/>
      <c r="H77" s="128"/>
      <c r="I77" s="128"/>
      <c r="J77" s="136"/>
      <c r="K77" s="136">
        <f>VLOOKUP($C77,TS3L1_ALL,11,FALSE)*F77</f>
        <v>0</v>
      </c>
      <c r="L77" s="136" t="str">
        <f>VLOOKUP($C77,TS3L1_ALL,12,FALSE)</f>
        <v>L1N33</v>
      </c>
    </row>
    <row r="78" spans="1:17" ht="15" hidden="1" x14ac:dyDescent="0.25">
      <c r="A78" s="64"/>
      <c r="B78" s="64"/>
      <c r="C78" s="193"/>
      <c r="D78" s="64"/>
      <c r="E78" s="175"/>
      <c r="F78" s="133"/>
      <c r="G78" s="128"/>
      <c r="H78" s="128"/>
      <c r="I78" s="128"/>
      <c r="J78" s="130"/>
      <c r="K78" s="129"/>
      <c r="L78" s="129"/>
    </row>
    <row r="79" spans="1:17" ht="15.75" customHeight="1" thickBot="1" x14ac:dyDescent="0.3">
      <c r="A79" s="64"/>
      <c r="B79" s="64"/>
      <c r="C79" s="186" t="s">
        <v>155</v>
      </c>
      <c r="D79" s="64"/>
      <c r="E79" s="175"/>
      <c r="F79" s="133"/>
      <c r="G79" s="128"/>
      <c r="H79" s="128"/>
      <c r="I79" s="128"/>
      <c r="J79" s="129"/>
      <c r="K79" s="129"/>
      <c r="L79" s="129"/>
    </row>
    <row r="80" spans="1:17" ht="16.5" customHeight="1" thickTop="1" thickBot="1" x14ac:dyDescent="0.3">
      <c r="A80" s="64"/>
      <c r="B80" s="64"/>
      <c r="C80" s="185" t="s">
        <v>154</v>
      </c>
      <c r="D80" s="64"/>
      <c r="E80" s="178" t="str">
        <f>VLOOKUP($C80,TS3L1_BEZEL,13,FALSE)</f>
        <v/>
      </c>
      <c r="F80" s="199"/>
      <c r="G80" s="128"/>
      <c r="H80" s="128"/>
      <c r="I80" s="128"/>
      <c r="J80" s="136">
        <f>VLOOKUP($C80,TS3L1_BEZEL,10,FALSE)</f>
        <v>0</v>
      </c>
      <c r="M80" s="170">
        <f>IF(Q80="",0,1)</f>
        <v>0</v>
      </c>
      <c r="O80" s="136">
        <f>VLOOKUP($C80,TS3L1_BEZEL,11,FALSE)</f>
        <v>0</v>
      </c>
      <c r="Q80" s="136" t="str">
        <f>VLOOKUP($C80,TS3L1_ALL,12,FALSE)</f>
        <v/>
      </c>
    </row>
    <row r="81" spans="1:17" ht="15.75" thickTop="1" x14ac:dyDescent="0.25">
      <c r="A81" s="134"/>
      <c r="B81" s="64"/>
      <c r="C81" s="177"/>
      <c r="D81" s="64"/>
      <c r="E81" s="175"/>
      <c r="F81" s="133"/>
      <c r="G81" s="128"/>
      <c r="H81" s="128"/>
      <c r="I81" s="128"/>
      <c r="J81" s="130"/>
      <c r="K81" s="129"/>
      <c r="L81" s="129"/>
    </row>
    <row r="82" spans="1:17" ht="15.75" customHeight="1" thickBot="1" x14ac:dyDescent="0.3">
      <c r="A82" s="64"/>
      <c r="B82" s="64"/>
      <c r="C82" s="186" t="s">
        <v>166</v>
      </c>
      <c r="D82" s="64"/>
      <c r="E82" s="175"/>
      <c r="F82" s="133"/>
      <c r="G82" s="128"/>
      <c r="H82" s="128"/>
      <c r="I82" s="128"/>
      <c r="J82" s="129"/>
      <c r="K82" s="129"/>
      <c r="L82" s="129"/>
    </row>
    <row r="83" spans="1:17" ht="16.5" customHeight="1" thickTop="1" thickBot="1" x14ac:dyDescent="0.3">
      <c r="A83" s="64"/>
      <c r="B83" s="64"/>
      <c r="C83" s="185" t="s">
        <v>165</v>
      </c>
      <c r="D83" s="64"/>
      <c r="E83" s="178" t="str">
        <f>VLOOKUP($C83,TS3L1_DVD,13,FALSE)</f>
        <v/>
      </c>
      <c r="F83" s="199" t="str">
        <f>VLOOKUP($C83,TS3L1_DVD,7,FALSE)</f>
        <v/>
      </c>
      <c r="G83" s="128"/>
      <c r="H83" s="128"/>
      <c r="I83" s="128"/>
      <c r="J83" s="136">
        <f>VLOOKUP($C83,TS3L1_DVD,10,FALSE)</f>
        <v>0</v>
      </c>
      <c r="M83" s="170">
        <f>IF(Q83="",0,1)</f>
        <v>0</v>
      </c>
      <c r="O83" s="136">
        <f>VLOOKUP($C83,TS3L1_DVD,11,FALSE)</f>
        <v>0</v>
      </c>
      <c r="Q83" s="136" t="str">
        <f>VLOOKUP($C83,TS3L1_ALL,12,FALSE)</f>
        <v/>
      </c>
    </row>
    <row r="84" spans="1:17" ht="15.75" thickTop="1" x14ac:dyDescent="0.25">
      <c r="A84" s="64"/>
      <c r="B84" s="64"/>
      <c r="C84" s="177"/>
      <c r="D84" s="64"/>
      <c r="E84" s="175"/>
      <c r="F84" s="133"/>
      <c r="G84" s="128"/>
      <c r="H84" s="128"/>
      <c r="I84" s="128"/>
      <c r="J84" s="130"/>
      <c r="K84" s="129"/>
      <c r="L84" s="129"/>
    </row>
    <row r="85" spans="1:17" ht="15.75" customHeight="1" thickBot="1" x14ac:dyDescent="0.3">
      <c r="A85" s="64"/>
      <c r="B85" s="64"/>
      <c r="C85" s="186" t="s">
        <v>202</v>
      </c>
      <c r="D85" s="204" t="str">
        <f>HYPERLINK("https://convenzioni.converge.it/docs/ts3_datasheet/TS3warranty.pdf","i")</f>
        <v>i</v>
      </c>
      <c r="E85" s="175"/>
      <c r="F85" s="133"/>
      <c r="G85" s="128"/>
      <c r="H85" s="128"/>
      <c r="I85" s="128"/>
      <c r="J85" s="129"/>
      <c r="K85" s="129"/>
      <c r="L85" s="129"/>
    </row>
    <row r="86" spans="1:17" ht="16.5" customHeight="1" thickTop="1" thickBot="1" x14ac:dyDescent="0.25">
      <c r="A86" s="64"/>
      <c r="B86" s="64"/>
      <c r="C86" s="185" t="s">
        <v>176</v>
      </c>
      <c r="D86" s="204"/>
      <c r="E86" s="178" t="str">
        <f>VLOOKUP($C86,TS3L1_WARRANTY,13,FALSE)</f>
        <v/>
      </c>
      <c r="F86" s="199" t="str">
        <f>VLOOKUP($C86,TS3L1_WARRANTY,7,FALSE)</f>
        <v/>
      </c>
      <c r="G86" s="128"/>
      <c r="H86" s="128"/>
      <c r="I86" s="128"/>
      <c r="J86" s="136">
        <f>VLOOKUP($C86,TS3L1_WARRANTY,10,FALSE)</f>
        <v>0</v>
      </c>
      <c r="K86" s="136">
        <f>VLOOKUP($C86,TS3L1_WARRANTY,11,FALSE)</f>
        <v>0</v>
      </c>
      <c r="L86" s="136" t="str">
        <f>VLOOKUP($C86,TS3L1_ALL,12,FALSE)</f>
        <v/>
      </c>
    </row>
    <row r="87" spans="1:17" ht="15.75" thickTop="1" x14ac:dyDescent="0.25">
      <c r="A87" s="64"/>
      <c r="B87" s="64"/>
      <c r="C87" s="177"/>
      <c r="D87" s="64"/>
      <c r="E87" s="175"/>
      <c r="F87" s="133"/>
      <c r="G87" s="128"/>
      <c r="H87" s="128"/>
      <c r="I87" s="128"/>
      <c r="J87" s="130"/>
      <c r="K87" s="129"/>
      <c r="L87" s="129"/>
    </row>
    <row r="88" spans="1:17" ht="15.75" customHeight="1" thickBot="1" x14ac:dyDescent="0.3">
      <c r="A88" s="134"/>
      <c r="B88" s="64"/>
      <c r="C88" s="186" t="s">
        <v>192</v>
      </c>
      <c r="D88" s="204" t="str">
        <f>HYPERLINK("https://convenzioni.converge.it/docs/ts3_datasheet/DELL_HDD_KYHD.pdf","i")</f>
        <v>i</v>
      </c>
      <c r="E88" s="175"/>
      <c r="F88" s="133"/>
      <c r="G88" s="128"/>
      <c r="H88" s="128"/>
      <c r="I88" s="128"/>
      <c r="J88" s="129"/>
      <c r="K88" s="129"/>
      <c r="L88" s="129"/>
    </row>
    <row r="89" spans="1:17" ht="16.5" customHeight="1" thickTop="1" thickBot="1" x14ac:dyDescent="0.25">
      <c r="A89" s="64"/>
      <c r="B89" s="64"/>
      <c r="C89" s="185" t="s">
        <v>201</v>
      </c>
      <c r="D89" s="204"/>
      <c r="E89" s="178" t="str">
        <f>IFERROR($N$89,VLOOKUP($C89,TS3L1_ALL,13,FALSE))</f>
        <v/>
      </c>
      <c r="F89" s="199" t="str">
        <f>IF(C89="","",1)</f>
        <v/>
      </c>
      <c r="G89" s="128"/>
      <c r="H89" s="128"/>
      <c r="I89" s="128"/>
      <c r="J89" s="136">
        <f>IFERROR($O$89,VLOOKUP($C89,TS3L1_ALL,10,FALSE))</f>
        <v>0</v>
      </c>
      <c r="K89" s="136">
        <f>IFERROR($P$89,VLOOKUP($C89,TS3L1_ALL,11,FALSE))</f>
        <v>0</v>
      </c>
      <c r="L89" s="136" t="str">
        <f>IFERROR($Q$89,VLOOKUP($C89,TS3L1_ALL,12,FALSE))</f>
        <v/>
      </c>
      <c r="N89" s="87" t="e">
        <f>IF($F$86+$F$89=2,VLOOKUP("Hard Disk Retention (60 mesi)",TS3L1_ALL,13,FALSE),VLOOKUP($C89,TS3L1_ALL,13,FALSE))</f>
        <v>#VALUE!</v>
      </c>
      <c r="O89" s="87" t="e">
        <f>IF($F$86+$F$89=2,VLOOKUP("Hard Disk Retention (60 mesi)",TS3L1_ALL,10,FALSE),VLOOKUP($C89,TS3L1_ALL,10,FALSE))</f>
        <v>#VALUE!</v>
      </c>
      <c r="P89" s="87" t="e">
        <f>IF($F$86+$F$89=2,VLOOKUP("Hard Disk Retention (60 mesi)",TS3L1_ALL,11,FALSE),VLOOKUP($C89,TS3L1_ALL,11,FALSE))</f>
        <v>#VALUE!</v>
      </c>
      <c r="Q89" s="87" t="e">
        <f>IF($F$86+$F$89=2,VLOOKUP("Hard Disk Retention (60 mesi)",TS3L1_ALL,12,FALSE),VLOOKUP($C89,TS3L1_ALL,12,FALSE))</f>
        <v>#VALUE!</v>
      </c>
    </row>
    <row r="90" spans="1:17" ht="16.5" thickTop="1" thickBot="1" x14ac:dyDescent="0.3">
      <c r="A90" s="64"/>
      <c r="B90" s="64"/>
      <c r="C90" s="181"/>
      <c r="D90" s="64"/>
      <c r="E90" s="175"/>
      <c r="F90" s="175"/>
      <c r="G90" s="129"/>
      <c r="H90" s="128"/>
      <c r="I90" s="128"/>
      <c r="J90" s="130"/>
      <c r="K90" s="129"/>
      <c r="L90" s="129"/>
    </row>
    <row r="91" spans="1:17" ht="15.75" thickTop="1" x14ac:dyDescent="0.25">
      <c r="A91" s="138"/>
      <c r="B91" s="138"/>
      <c r="C91" s="195"/>
      <c r="D91" s="138"/>
      <c r="E91" s="180"/>
      <c r="F91" s="180"/>
      <c r="G91" s="139"/>
      <c r="H91" s="139"/>
      <c r="I91" s="139"/>
      <c r="J91" s="140"/>
      <c r="K91" s="139"/>
      <c r="L91" s="115"/>
    </row>
    <row r="92" spans="1:17" ht="15.75" customHeight="1" thickBot="1" x14ac:dyDescent="0.3">
      <c r="A92" s="129"/>
      <c r="B92" s="129"/>
      <c r="C92" s="186" t="s">
        <v>207</v>
      </c>
      <c r="D92" s="204" t="str">
        <f>HYPERLINK("https://convenzioni.converge.it/docs/ts3_datasheet/RPMM_UPS.pdf","i")</f>
        <v>i</v>
      </c>
      <c r="E92" s="175"/>
      <c r="F92" s="133"/>
      <c r="G92" s="128"/>
      <c r="H92" s="128"/>
      <c r="I92" s="128"/>
      <c r="J92" s="129"/>
      <c r="K92" s="129"/>
      <c r="L92" s="129"/>
    </row>
    <row r="93" spans="1:17" ht="16.5" customHeight="1" thickTop="1" thickBot="1" x14ac:dyDescent="0.25">
      <c r="A93" s="64"/>
      <c r="B93" s="64"/>
      <c r="C93" s="185" t="s">
        <v>201</v>
      </c>
      <c r="D93" s="204"/>
      <c r="E93" s="178" t="str">
        <f>VLOOKUP($C93,TS3L1_UPS,13,FALSE)</f>
        <v/>
      </c>
      <c r="F93" s="199" t="str">
        <f>VLOOKUP($C93,TS3L1_UPS,7,FALSE)</f>
        <v/>
      </c>
      <c r="G93" s="128"/>
      <c r="H93" s="128"/>
      <c r="I93" s="128"/>
      <c r="J93" s="136">
        <f>VLOOKUP($C93,TS3L1_UPS,10,FALSE)</f>
        <v>0</v>
      </c>
      <c r="K93" s="136">
        <f>VLOOKUP($C93,TS3L1_UPS,11,FALSE)</f>
        <v>0</v>
      </c>
      <c r="L93" s="136" t="str">
        <f>VLOOKUP($C93,TS3L1_ALL,12,FALSE)</f>
        <v/>
      </c>
    </row>
    <row r="94" spans="1:17" ht="15.75" thickTop="1" x14ac:dyDescent="0.25">
      <c r="A94" s="64"/>
      <c r="B94" s="64"/>
      <c r="C94" s="181"/>
      <c r="D94" s="64"/>
      <c r="E94" s="175"/>
      <c r="F94" s="175"/>
      <c r="G94" s="128"/>
      <c r="H94" s="129"/>
      <c r="I94" s="129"/>
      <c r="J94" s="130"/>
      <c r="K94" s="129"/>
      <c r="L94" s="129"/>
    </row>
    <row r="95" spans="1:17" ht="15.75" customHeight="1" thickBot="1" x14ac:dyDescent="0.3">
      <c r="A95" s="64"/>
      <c r="B95" s="134"/>
      <c r="C95" s="186" t="s">
        <v>218</v>
      </c>
      <c r="D95" s="204" t="str">
        <f>HYPERLINK("https://convenzioni.converge.it/docs/ts3_datasheet/Dell_E1916H.pdf","i")</f>
        <v>i</v>
      </c>
      <c r="E95" s="175"/>
      <c r="F95" s="133"/>
      <c r="G95" s="128"/>
      <c r="H95" s="128"/>
      <c r="I95" s="128"/>
      <c r="J95" s="129"/>
      <c r="K95" s="129"/>
      <c r="L95" s="129"/>
    </row>
    <row r="96" spans="1:17" ht="16.5" customHeight="1" thickTop="1" thickBot="1" x14ac:dyDescent="0.25">
      <c r="A96" s="64"/>
      <c r="B96" s="64"/>
      <c r="C96" s="185" t="s">
        <v>201</v>
      </c>
      <c r="D96" s="204"/>
      <c r="E96" s="178" t="str">
        <f>VLOOKUP($C96,TS3L1_GUI,13,FALSE)</f>
        <v/>
      </c>
      <c r="F96" s="199" t="str">
        <f>VLOOKUP($C96,TS3L1_GUI,7,FALSE)</f>
        <v/>
      </c>
      <c r="G96" s="128"/>
      <c r="H96" s="128"/>
      <c r="I96" s="128"/>
      <c r="J96" s="136">
        <f>VLOOKUP($C96,TS3L1_GUI,10,FALSE)</f>
        <v>0</v>
      </c>
      <c r="K96" s="136">
        <f>VLOOKUP($C96,TS3L1_GUI,11,FALSE)</f>
        <v>0</v>
      </c>
      <c r="L96" s="136" t="str">
        <f>VLOOKUP($C96,TS3L1_ALL,12,FALSE)</f>
        <v/>
      </c>
    </row>
    <row r="97" spans="1:12" ht="15.75" thickTop="1" x14ac:dyDescent="0.25">
      <c r="A97" s="64"/>
      <c r="B97" s="64"/>
      <c r="C97" s="181"/>
      <c r="D97" s="64"/>
      <c r="E97" s="175"/>
      <c r="F97" s="175"/>
      <c r="G97" s="128"/>
      <c r="H97" s="129"/>
      <c r="I97" s="129"/>
      <c r="J97" s="130"/>
      <c r="K97" s="129"/>
      <c r="L97" s="129"/>
    </row>
  </sheetData>
  <sheetProtection algorithmName="SHA-512" hashValue="fQrxBj+7e9QiuPi4JlNOlujGNm9FHipGbDyTDpPsmsE3T0+yRn7e/sDUH0ctQ7rs+FeS0psZnwRV6CKYticB6A==" saltValue="jtHi4zRtmdDku7H3Oxsa8A==" spinCount="100000" sheet="1" objects="1" scenarios="1"/>
  <mergeCells count="10">
    <mergeCell ref="H27:H38"/>
    <mergeCell ref="D7:D8"/>
    <mergeCell ref="D10:D11"/>
    <mergeCell ref="D16:D17"/>
    <mergeCell ref="D25:D26"/>
    <mergeCell ref="D43:D44"/>
    <mergeCell ref="D85:D86"/>
    <mergeCell ref="D88:D89"/>
    <mergeCell ref="D92:D93"/>
    <mergeCell ref="D95:D96"/>
  </mergeCells>
  <conditionalFormatting sqref="E41:F41">
    <cfRule type="expression" dxfId="59" priority="74">
      <formula>$K41&gt;0</formula>
    </cfRule>
  </conditionalFormatting>
  <conditionalFormatting sqref="E50:F50">
    <cfRule type="expression" dxfId="58" priority="72">
      <formula>$K50&gt;0</formula>
    </cfRule>
  </conditionalFormatting>
  <conditionalFormatting sqref="E53:F53">
    <cfRule type="expression" dxfId="57" priority="70">
      <formula>$K53&gt;0</formula>
    </cfRule>
  </conditionalFormatting>
  <conditionalFormatting sqref="E56:F56">
    <cfRule type="expression" dxfId="56" priority="68">
      <formula>$K56&gt;0</formula>
    </cfRule>
  </conditionalFormatting>
  <conditionalFormatting sqref="E59:F59">
    <cfRule type="expression" dxfId="55" priority="66">
      <formula>$K59&gt;0</formula>
    </cfRule>
  </conditionalFormatting>
  <conditionalFormatting sqref="E80:F80">
    <cfRule type="expression" dxfId="54" priority="64">
      <formula>$K80&gt;0</formula>
    </cfRule>
  </conditionalFormatting>
  <conditionalFormatting sqref="E83:F83">
    <cfRule type="expression" dxfId="53" priority="62">
      <formula>$K83&gt;0</formula>
    </cfRule>
  </conditionalFormatting>
  <conditionalFormatting sqref="E86:F86">
    <cfRule type="expression" dxfId="52" priority="60">
      <formula>$K86&gt;0</formula>
    </cfRule>
  </conditionalFormatting>
  <conditionalFormatting sqref="E38:F38">
    <cfRule type="expression" dxfId="51" priority="56">
      <formula>$K38&gt;0</formula>
    </cfRule>
  </conditionalFormatting>
  <conditionalFormatting sqref="E35:F35">
    <cfRule type="expression" dxfId="50" priority="54">
      <formula>$K35&gt;0</formula>
    </cfRule>
  </conditionalFormatting>
  <conditionalFormatting sqref="E32:F32">
    <cfRule type="expression" dxfId="49" priority="52">
      <formula>$K32&gt;0</formula>
    </cfRule>
  </conditionalFormatting>
  <conditionalFormatting sqref="E29:F29">
    <cfRule type="expression" dxfId="48" priority="50">
      <formula>$K29&gt;0</formula>
    </cfRule>
  </conditionalFormatting>
  <conditionalFormatting sqref="E23:F23">
    <cfRule type="expression" dxfId="47" priority="48">
      <formula>$K23&gt;0</formula>
    </cfRule>
  </conditionalFormatting>
  <conditionalFormatting sqref="E20">
    <cfRule type="expression" dxfId="46" priority="46">
      <formula>$K20&gt;0</formula>
    </cfRule>
  </conditionalFormatting>
  <conditionalFormatting sqref="E96:F96">
    <cfRule type="expression" dxfId="45" priority="42">
      <formula>$K96&gt;0</formula>
    </cfRule>
  </conditionalFormatting>
  <conditionalFormatting sqref="E93:F93">
    <cfRule type="expression" dxfId="44" priority="44">
      <formula>$K93&gt;0</formula>
    </cfRule>
  </conditionalFormatting>
  <conditionalFormatting sqref="E70">
    <cfRule type="expression" dxfId="43" priority="40">
      <formula>$K70&gt;0</formula>
    </cfRule>
  </conditionalFormatting>
  <conditionalFormatting sqref="F20">
    <cfRule type="expression" dxfId="42" priority="38">
      <formula>$K20&gt;0</formula>
    </cfRule>
  </conditionalFormatting>
  <conditionalFormatting sqref="F20">
    <cfRule type="expression" dxfId="41" priority="37">
      <formula>$F$20=0</formula>
    </cfRule>
  </conditionalFormatting>
  <conditionalFormatting sqref="C41">
    <cfRule type="expression" dxfId="40" priority="32">
      <formula>$M41&gt;0</formula>
    </cfRule>
  </conditionalFormatting>
  <conditionalFormatting sqref="C50">
    <cfRule type="expression" dxfId="39" priority="31">
      <formula>$K50&gt;0</formula>
    </cfRule>
  </conditionalFormatting>
  <conditionalFormatting sqref="C56">
    <cfRule type="expression" dxfId="38" priority="30">
      <formula>$K56&gt;0</formula>
    </cfRule>
  </conditionalFormatting>
  <conditionalFormatting sqref="C80">
    <cfRule type="expression" dxfId="37" priority="29">
      <formula>$M80&gt;0</formula>
    </cfRule>
  </conditionalFormatting>
  <conditionalFormatting sqref="C83">
    <cfRule type="expression" dxfId="36" priority="28">
      <formula>$M83&gt;0</formula>
    </cfRule>
  </conditionalFormatting>
  <conditionalFormatting sqref="C86">
    <cfRule type="expression" dxfId="35" priority="27">
      <formula>$K86&gt;0</formula>
    </cfRule>
  </conditionalFormatting>
  <conditionalFormatting sqref="C38">
    <cfRule type="expression" dxfId="34" priority="25">
      <formula>$K38&gt;0</formula>
    </cfRule>
  </conditionalFormatting>
  <conditionalFormatting sqref="C35">
    <cfRule type="expression" dxfId="33" priority="24">
      <formula>$K35&gt;0</formula>
    </cfRule>
  </conditionalFormatting>
  <conditionalFormatting sqref="C32">
    <cfRule type="expression" dxfId="32" priority="23">
      <formula>$K32&gt;0</formula>
    </cfRule>
  </conditionalFormatting>
  <conditionalFormatting sqref="C29">
    <cfRule type="expression" dxfId="31" priority="22">
      <formula>$K29&gt;0</formula>
    </cfRule>
  </conditionalFormatting>
  <conditionalFormatting sqref="C23">
    <cfRule type="expression" dxfId="30" priority="21">
      <formula>$K23&gt;0</formula>
    </cfRule>
  </conditionalFormatting>
  <conditionalFormatting sqref="C20">
    <cfRule type="expression" dxfId="29" priority="20">
      <formula>$K20&gt;0</formula>
    </cfRule>
  </conditionalFormatting>
  <conditionalFormatting sqref="C93">
    <cfRule type="expression" dxfId="28" priority="19">
      <formula>$K93&gt;0</formula>
    </cfRule>
  </conditionalFormatting>
  <conditionalFormatting sqref="C96">
    <cfRule type="expression" dxfId="27" priority="18">
      <formula>$K96&gt;0</formula>
    </cfRule>
  </conditionalFormatting>
  <conditionalFormatting sqref="C70">
    <cfRule type="expression" dxfId="26" priority="17">
      <formula>$K70&gt;0</formula>
    </cfRule>
  </conditionalFormatting>
  <conditionalFormatting sqref="C65">
    <cfRule type="expression" dxfId="25" priority="15">
      <formula>$K65&gt;0</formula>
    </cfRule>
  </conditionalFormatting>
  <conditionalFormatting sqref="C62">
    <cfRule type="expression" dxfId="24" priority="16">
      <formula>$K62&gt;0</formula>
    </cfRule>
  </conditionalFormatting>
  <conditionalFormatting sqref="C66">
    <cfRule type="expression" dxfId="23" priority="13">
      <formula>$K66&gt;0</formula>
    </cfRule>
  </conditionalFormatting>
  <conditionalFormatting sqref="C74:C76">
    <cfRule type="expression" dxfId="22" priority="6">
      <formula>$K74&gt;0</formula>
    </cfRule>
  </conditionalFormatting>
  <conditionalFormatting sqref="C66">
    <cfRule type="expression" dxfId="21" priority="12">
      <formula>$K66&gt;0</formula>
    </cfRule>
  </conditionalFormatting>
  <conditionalFormatting sqref="C67">
    <cfRule type="expression" dxfId="20" priority="10">
      <formula>$K67&gt;0</formula>
    </cfRule>
  </conditionalFormatting>
  <conditionalFormatting sqref="C73">
    <cfRule type="expression" dxfId="19" priority="9">
      <formula>$K73&gt;0</formula>
    </cfRule>
  </conditionalFormatting>
  <conditionalFormatting sqref="C65">
    <cfRule type="expression" dxfId="18" priority="14">
      <formula>$K65&gt;0</formula>
    </cfRule>
  </conditionalFormatting>
  <conditionalFormatting sqref="C74:C76">
    <cfRule type="expression" dxfId="17" priority="7">
      <formula>$K74&gt;0</formula>
    </cfRule>
  </conditionalFormatting>
  <conditionalFormatting sqref="C67">
    <cfRule type="expression" dxfId="16" priority="11">
      <formula>$K67&gt;0</formula>
    </cfRule>
  </conditionalFormatting>
  <conditionalFormatting sqref="C77">
    <cfRule type="expression" dxfId="15" priority="5">
      <formula>$K77&gt;0</formula>
    </cfRule>
  </conditionalFormatting>
  <conditionalFormatting sqref="C77">
    <cfRule type="expression" dxfId="14" priority="4">
      <formula>$K77&gt;0</formula>
    </cfRule>
  </conditionalFormatting>
  <conditionalFormatting sqref="C73">
    <cfRule type="expression" dxfId="13" priority="8">
      <formula>$K73&gt;0</formula>
    </cfRule>
  </conditionalFormatting>
  <conditionalFormatting sqref="C59">
    <cfRule type="expression" dxfId="12" priority="3">
      <formula>$K59&gt;0</formula>
    </cfRule>
  </conditionalFormatting>
  <conditionalFormatting sqref="C53">
    <cfRule type="expression" dxfId="11" priority="2">
      <formula>$K53&gt;0</formula>
    </cfRule>
  </conditionalFormatting>
  <conditionalFormatting sqref="C89">
    <cfRule type="expression" dxfId="10" priority="1">
      <formula>$K89&gt;0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" id="{833F00D5-DFE3-4EFB-A71E-91092F6AF6F0}">
            <xm:f>Lotto1_T340_1!$K62&gt;0</xm:f>
            <x14:dxf>
              <fill>
                <patternFill>
                  <bgColor rgb="FF92D050"/>
                </patternFill>
              </fill>
            </x14:dxf>
          </x14:cfRule>
          <xm:sqref>E65:E67 E62 E73:E77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ErrorMessage="1" xr:uid="{00000000-0002-0000-0200-000000000000}">
          <x14:formula1>
            <xm:f>ConfigurationTS3L1!$A$7:$A$10</xm:f>
          </x14:formula1>
          <xm:sqref>C20</xm:sqref>
        </x14:dataValidation>
        <x14:dataValidation type="list" allowBlank="1" showErrorMessage="1" xr:uid="{00000000-0002-0000-0200-000001000000}">
          <x14:formula1>
            <xm:f>ConfigurationTS3L1!$A$13:$A$15</xm:f>
          </x14:formula1>
          <xm:sqref>C23</xm:sqref>
        </x14:dataValidation>
        <x14:dataValidation type="list" allowBlank="1" showErrorMessage="1" xr:uid="{00000000-0002-0000-0200-000002000000}">
          <x14:formula1>
            <xm:f>ConfigurationTS3L1!$A$18:$A$24</xm:f>
          </x14:formula1>
          <xm:sqref>C29 C32 C35 C38</xm:sqref>
        </x14:dataValidation>
        <x14:dataValidation type="list" allowBlank="1" showErrorMessage="1" xr:uid="{00000000-0002-0000-0200-000003000000}">
          <x14:formula1>
            <xm:f>ConfigurationTS3L1!$A$27:$A$29</xm:f>
          </x14:formula1>
          <xm:sqref>C41</xm:sqref>
        </x14:dataValidation>
        <x14:dataValidation type="list" allowBlank="1" showErrorMessage="1" xr:uid="{00000000-0002-0000-0200-000004000000}">
          <x14:formula1>
            <xm:f>ConfigurationTS3L1!$A$47:$A$48</xm:f>
          </x14:formula1>
          <xm:sqref>C56 C59 C53</xm:sqref>
        </x14:dataValidation>
        <x14:dataValidation type="list" allowBlank="1" showErrorMessage="1" xr:uid="{00000000-0002-0000-0200-000005000000}">
          <x14:formula1>
            <xm:f>ConfigurationTS3L1!$A$62:$A$64</xm:f>
          </x14:formula1>
          <xm:sqref>C80</xm:sqref>
        </x14:dataValidation>
        <x14:dataValidation type="list" allowBlank="1" showErrorMessage="1" xr:uid="{00000000-0002-0000-0200-000006000000}">
          <x14:formula1>
            <xm:f>ConfigurationTS3L1!$A$67:$A$69</xm:f>
          </x14:formula1>
          <xm:sqref>C83</xm:sqref>
        </x14:dataValidation>
        <x14:dataValidation type="list" allowBlank="1" showErrorMessage="1" xr:uid="{00000000-0002-0000-0200-000007000000}">
          <x14:formula1>
            <xm:f>ConfigurationTS3L1!$A$72:$A$73</xm:f>
          </x14:formula1>
          <xm:sqref>C86</xm:sqref>
        </x14:dataValidation>
        <x14:dataValidation type="list" allowBlank="1" showErrorMessage="1" xr:uid="{00000000-0002-0000-0200-000008000000}">
          <x14:formula1>
            <xm:f>ConfigurationTS3L1!$A$76:$A$77</xm:f>
          </x14:formula1>
          <xm:sqref>C89</xm:sqref>
        </x14:dataValidation>
        <x14:dataValidation type="list" allowBlank="1" showErrorMessage="1" xr:uid="{00000000-0002-0000-0200-000009000000}">
          <x14:formula1>
            <xm:f>ConfigurationTS3L1!$A$81:$A$82</xm:f>
          </x14:formula1>
          <xm:sqref>C93</xm:sqref>
        </x14:dataValidation>
        <x14:dataValidation type="list" allowBlank="1" showErrorMessage="1" prompt="Kit Graphical User Interface (GUI), costituito da un monitor da tavolo TFT 17”, con risoluzione di 1024x768, intervallo di frequenze orizzontali di almeno 30KHz-60KHz, da una tastiera e da un dispositivo di puntamento (mouse)." xr:uid="{00000000-0002-0000-0200-00000A000000}">
          <x14:formula1>
            <xm:f>ConfigurationTS3L1!$A$85:$A$86</xm:f>
          </x14:formula1>
          <xm:sqref>C96</xm:sqref>
        </x14:dataValidation>
        <x14:dataValidation type="list" allowBlank="1" showErrorMessage="1" xr:uid="{00000000-0002-0000-0200-00000B000000}">
          <x14:formula1>
            <xm:f>ConfigurationTS3L1!$A$32:$A$32</xm:f>
          </x14:formula1>
          <xm:sqref>C50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2:N111"/>
  <sheetViews>
    <sheetView workbookViewId="0">
      <selection activeCell="J9" sqref="J9"/>
    </sheetView>
  </sheetViews>
  <sheetFormatPr defaultRowHeight="15" x14ac:dyDescent="0.25"/>
  <cols>
    <col min="1" max="1" width="56.28515625" customWidth="1"/>
    <col min="2" max="2" width="35.5703125" customWidth="1"/>
    <col min="3" max="3" width="9.42578125" bestFit="1" customWidth="1"/>
    <col min="4" max="4" width="34.42578125" customWidth="1"/>
    <col min="5" max="5" width="14" bestFit="1" customWidth="1"/>
    <col min="6" max="6" width="12.42578125" customWidth="1"/>
    <col min="7" max="7" width="7.85546875" customWidth="1"/>
    <col min="8" max="8" width="22.28515625" customWidth="1"/>
    <col min="9" max="9" width="31.85546875" customWidth="1"/>
    <col min="10" max="10" width="12.5703125" bestFit="1" customWidth="1"/>
    <col min="11" max="11" width="12.5703125" customWidth="1"/>
    <col min="12" max="12" width="9.42578125" customWidth="1"/>
    <col min="13" max="13" width="16.7109375" bestFit="1" customWidth="1"/>
  </cols>
  <sheetData>
    <row r="2" spans="1:13" x14ac:dyDescent="0.25"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3" t="s">
        <v>23</v>
      </c>
      <c r="I2" s="3" t="s">
        <v>24</v>
      </c>
      <c r="J2" s="3" t="s">
        <v>25</v>
      </c>
      <c r="K2" s="3"/>
      <c r="L2" s="3" t="s">
        <v>26</v>
      </c>
      <c r="M2" s="3" t="s">
        <v>27</v>
      </c>
    </row>
    <row r="3" spans="1:13" x14ac:dyDescent="0.25">
      <c r="A3" s="2" t="s">
        <v>1</v>
      </c>
      <c r="D3" s="5" t="str">
        <f>VLOOKUP(L3,Tabella_prezzi!$A$3:$J$58,8,FALSE)</f>
        <v>DELL PowerEdge T340 Server</v>
      </c>
      <c r="I3" s="5" t="str">
        <f>VLOOKUP(L3,Tabella_prezzi!$A$3:$J$58,3,FALSE)</f>
        <v>Server Tower mono-processore</v>
      </c>
      <c r="J3" s="5">
        <f>VLOOKUP(L3,Tabella_prezzi!$A$3:$J$58,4,FALSE)</f>
        <v>1399</v>
      </c>
      <c r="K3" s="5"/>
      <c r="L3" s="147" t="s">
        <v>29</v>
      </c>
      <c r="M3" s="4" t="str">
        <f>VLOOKUP(L3,Tabella_prezzi!$A$3:$J$58,6,FALSE)</f>
        <v>TS3L1-SRV</v>
      </c>
    </row>
    <row r="4" spans="1:13" x14ac:dyDescent="0.25">
      <c r="J4" s="6"/>
      <c r="K4" s="6"/>
    </row>
    <row r="5" spans="1:13" x14ac:dyDescent="0.25">
      <c r="J5" s="6"/>
      <c r="K5" s="6"/>
    </row>
    <row r="6" spans="1:13" x14ac:dyDescent="0.25">
      <c r="A6" s="7" t="s">
        <v>31</v>
      </c>
      <c r="J6" s="6"/>
      <c r="K6" s="6"/>
    </row>
    <row r="7" spans="1:13" x14ac:dyDescent="0.25">
      <c r="A7" s="4" t="s">
        <v>32</v>
      </c>
      <c r="B7" s="8" t="s">
        <v>8</v>
      </c>
      <c r="C7" s="9" t="s">
        <v>33</v>
      </c>
      <c r="D7" s="5" t="str">
        <f>D8</f>
        <v>16GB - 2Rx8 DDR4 UDIMM 2666MHz</v>
      </c>
      <c r="E7" s="10"/>
      <c r="F7" s="4" t="s">
        <v>34</v>
      </c>
      <c r="G7" s="8">
        <v>0</v>
      </c>
      <c r="H7" s="11" t="s">
        <v>35</v>
      </c>
      <c r="I7" s="4" t="str">
        <f>""</f>
        <v/>
      </c>
      <c r="J7" s="5"/>
      <c r="K7" s="5"/>
      <c r="L7" s="4" t="str">
        <f>""</f>
        <v/>
      </c>
      <c r="M7" s="4" t="str">
        <f>""</f>
        <v/>
      </c>
    </row>
    <row r="8" spans="1:13" x14ac:dyDescent="0.25">
      <c r="A8" s="4" t="s">
        <v>36</v>
      </c>
      <c r="B8" s="8" t="s">
        <v>8</v>
      </c>
      <c r="C8" s="9" t="s">
        <v>33</v>
      </c>
      <c r="D8" s="5" t="str">
        <f>VLOOKUP(L8,Tabella_prezzi!$A$3:$J$58,8,FALSE)</f>
        <v>16GB - 2Rx8 DDR4 UDIMM 2666MHz</v>
      </c>
      <c r="E8" s="10"/>
      <c r="F8" s="4" t="s">
        <v>34</v>
      </c>
      <c r="G8" s="8">
        <v>1</v>
      </c>
      <c r="H8" s="5" t="str">
        <f>VLOOKUP(L8,Tabella_prezzi!$A$3:$J$58,9,FALSE)</f>
        <v>L1N02-OpzRAM16GB</v>
      </c>
      <c r="I8" s="5" t="str">
        <f>VLOOKUP(L8,Tabella_prezzi!$A$3:$J$58,3,FALSE)</f>
        <v>OpzRAM16GB</v>
      </c>
      <c r="J8" s="5">
        <f>VLOOKUP(L8,Tabella_prezzi!$A$3:$J$58,4,FALSE)*G8</f>
        <v>98</v>
      </c>
      <c r="K8" s="5"/>
      <c r="L8" s="147" t="s">
        <v>38</v>
      </c>
      <c r="M8" s="4" t="str">
        <f>VLOOKUP(L8,Tabella_prezzi!$A$3:$J$58,6,FALSE)</f>
        <v>TS3L1-RAM16</v>
      </c>
    </row>
    <row r="9" spans="1:13" x14ac:dyDescent="0.25">
      <c r="A9" s="4" t="s">
        <v>40</v>
      </c>
      <c r="B9" s="8" t="s">
        <v>8</v>
      </c>
      <c r="C9" s="9" t="s">
        <v>33</v>
      </c>
      <c r="D9" s="5" t="str">
        <f>VLOOKUP(L9,Tabella_prezzi!$A$3:$J$58,8,FALSE)</f>
        <v>16GB - 2Rx8 DDR4 UDIMM 2666MHz</v>
      </c>
      <c r="E9" s="10"/>
      <c r="F9" s="4" t="s">
        <v>34</v>
      </c>
      <c r="G9" s="8">
        <v>2</v>
      </c>
      <c r="H9" s="5" t="str">
        <f>VLOOKUP(L9,Tabella_prezzi!$A$3:$J$58,9,FALSE)</f>
        <v>L1N02-OpzRAM16GB</v>
      </c>
      <c r="I9" s="5" t="str">
        <f>VLOOKUP(L9,Tabella_prezzi!$A$3:$J$58,3,FALSE)</f>
        <v>OpzRAM16GB</v>
      </c>
      <c r="J9" s="5">
        <f>VLOOKUP(L9,Tabella_prezzi!$A$3:$J$58,4,FALSE)*G9</f>
        <v>196</v>
      </c>
      <c r="K9" s="5"/>
      <c r="L9" s="147" t="s">
        <v>38</v>
      </c>
      <c r="M9" s="4" t="str">
        <f>VLOOKUP(L9,Tabella_prezzi!$A$3:$J$58,6,FALSE)</f>
        <v>TS3L1-RAM16</v>
      </c>
    </row>
    <row r="10" spans="1:13" x14ac:dyDescent="0.25">
      <c r="A10" s="4" t="s">
        <v>41</v>
      </c>
      <c r="B10" s="8" t="s">
        <v>8</v>
      </c>
      <c r="C10" s="9" t="s">
        <v>33</v>
      </c>
      <c r="D10" s="5" t="str">
        <f>VLOOKUP(L10,Tabella_prezzi!$A$3:$J$58,8,FALSE)</f>
        <v>16GB - 2Rx8 DDR4 UDIMM 2666MHz</v>
      </c>
      <c r="E10" s="10"/>
      <c r="F10" s="4" t="s">
        <v>34</v>
      </c>
      <c r="G10" s="8">
        <v>3</v>
      </c>
      <c r="H10" s="5" t="str">
        <f>VLOOKUP(L10,Tabella_prezzi!$A$3:$J$58,9,FALSE)</f>
        <v>L1N02-OpzRAM16GB</v>
      </c>
      <c r="I10" s="5" t="str">
        <f>VLOOKUP(L10,Tabella_prezzi!$A$3:$J$58,3,FALSE)</f>
        <v>OpzRAM16GB</v>
      </c>
      <c r="J10" s="5">
        <f>VLOOKUP(L10,Tabella_prezzi!$A$3:$J$58,4,FALSE)*G10</f>
        <v>294</v>
      </c>
      <c r="K10" s="5"/>
      <c r="L10" s="147" t="s">
        <v>38</v>
      </c>
      <c r="M10" s="4" t="str">
        <f>VLOOKUP(L10,Tabella_prezzi!$A$3:$J$58,6,FALSE)</f>
        <v>TS3L1-RAM16</v>
      </c>
    </row>
    <row r="11" spans="1:13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5">
      <c r="A12" s="7" t="s">
        <v>42</v>
      </c>
    </row>
    <row r="13" spans="1:13" x14ac:dyDescent="0.25">
      <c r="A13" s="4" t="s">
        <v>43</v>
      </c>
      <c r="B13" s="8" t="s">
        <v>9</v>
      </c>
      <c r="C13" s="9"/>
      <c r="D13" s="4"/>
      <c r="E13" s="10"/>
      <c r="F13" s="4"/>
      <c r="G13" s="8" t="str">
        <f>""</f>
        <v/>
      </c>
      <c r="H13" s="11"/>
      <c r="I13" s="4" t="str">
        <f>""</f>
        <v/>
      </c>
      <c r="J13" s="5"/>
      <c r="K13" s="5"/>
      <c r="L13" s="4" t="str">
        <f>""</f>
        <v/>
      </c>
      <c r="M13" s="4" t="str">
        <f>""</f>
        <v/>
      </c>
    </row>
    <row r="14" spans="1:13" x14ac:dyDescent="0.25">
      <c r="A14" s="4" t="s">
        <v>44</v>
      </c>
      <c r="B14" s="8" t="s">
        <v>9</v>
      </c>
      <c r="C14" s="9" t="s">
        <v>45</v>
      </c>
      <c r="D14" s="5" t="str">
        <f>VLOOKUP(L14,Tabella_prezzi!$A$3:$J$58,8,FALSE)</f>
        <v>Windows Server 2019,Essentials, ROK</v>
      </c>
      <c r="E14" s="10"/>
      <c r="F14" s="4" t="s">
        <v>46</v>
      </c>
      <c r="G14" s="8">
        <v>1</v>
      </c>
      <c r="H14" s="11" t="str">
        <f>VLOOKUP(L14,Tabella_prezzi!$A$3:$J$58,9,FALSE)</f>
        <v>L1N12-OpzWinServESS</v>
      </c>
      <c r="I14" s="5" t="str">
        <f>VLOOKUP(L14,Tabella_prezzi!$A$3:$J$58,3,FALSE)</f>
        <v>OpzWinServESS</v>
      </c>
      <c r="J14" s="5">
        <f>VLOOKUP(L14,Tabella_prezzi!$A$3:$J$58,4,FALSE)</f>
        <v>256</v>
      </c>
      <c r="K14" s="5"/>
      <c r="L14" s="147" t="s">
        <v>49</v>
      </c>
      <c r="M14" s="4" t="str">
        <f>VLOOKUP(L14,Tabella_prezzi!$A$3:$J$58,6,FALSE)</f>
        <v>TS3L1-WINSRVESS</v>
      </c>
    </row>
    <row r="15" spans="1:13" x14ac:dyDescent="0.25">
      <c r="A15" s="4" t="s">
        <v>51</v>
      </c>
      <c r="B15" s="8" t="s">
        <v>9</v>
      </c>
      <c r="C15" s="9"/>
      <c r="D15" s="5" t="str">
        <f>VLOOKUP(L15,Tabella_prezzi!$A$3:$J$58,8,FALSE)</f>
        <v>Ubuntu 18.04 LTS 64 Bit</v>
      </c>
      <c r="E15" s="10"/>
      <c r="F15" s="4"/>
      <c r="G15" s="8">
        <v>1</v>
      </c>
      <c r="H15" s="11"/>
      <c r="I15" s="5" t="str">
        <f>VLOOKUP(L15,Tabella_prezzi!$A$3:$J$58,3,FALSE)</f>
        <v>OpzOpenSource</v>
      </c>
      <c r="J15" s="5">
        <f>VLOOKUP(L15,Tabella_prezzi!$A$3:$J$58,4,FALSE)</f>
        <v>49</v>
      </c>
      <c r="K15" s="5"/>
      <c r="L15" s="147" t="s">
        <v>54</v>
      </c>
      <c r="M15" s="4" t="str">
        <f>VLOOKUP(L15,Tabella_prezzi!$A$3:$J$58,6,FALSE)</f>
        <v>TS3L1-LINUX</v>
      </c>
    </row>
    <row r="17" spans="1:13" x14ac:dyDescent="0.25">
      <c r="A17" s="7" t="s">
        <v>56</v>
      </c>
    </row>
    <row r="18" spans="1:13" x14ac:dyDescent="0.25">
      <c r="A18" s="4" t="str">
        <f>""</f>
        <v/>
      </c>
      <c r="B18" s="8"/>
      <c r="C18" s="9"/>
      <c r="D18" s="4"/>
      <c r="E18" s="10"/>
      <c r="F18" s="4"/>
      <c r="G18" s="8" t="str">
        <f>""</f>
        <v/>
      </c>
      <c r="H18" s="11"/>
      <c r="I18" s="4" t="str">
        <f>""</f>
        <v/>
      </c>
      <c r="J18" s="5"/>
      <c r="K18" s="5"/>
      <c r="L18" s="4" t="str">
        <f>""</f>
        <v/>
      </c>
      <c r="M18" s="4" t="str">
        <f>""</f>
        <v/>
      </c>
    </row>
    <row r="19" spans="1:13" x14ac:dyDescent="0.25">
      <c r="A19" s="4" t="s">
        <v>57</v>
      </c>
      <c r="B19" s="8" t="s">
        <v>58</v>
      </c>
      <c r="C19" s="9" t="s">
        <v>59</v>
      </c>
      <c r="D19" s="5" t="str">
        <f>VLOOKUP(L19,Tabella_prezzi!$A$3:$J$58,8,FALSE)</f>
        <v>HDD 8TB 7.2K SATA 6Gbps 3.5in Hot-plug</v>
      </c>
      <c r="E19" s="10"/>
      <c r="F19" s="4" t="s">
        <v>60</v>
      </c>
      <c r="G19" s="8">
        <v>1</v>
      </c>
      <c r="H19" s="5" t="str">
        <f>VLOOKUP(L19,Tabella_prezzi!$A$3:$J$58,9,FALSE)</f>
        <v>L1N04-OpzHDD8TB</v>
      </c>
      <c r="I19" s="5" t="str">
        <f>VLOOKUP(L19,Tabella_prezzi!$A$3:$J$58,3,FALSE)</f>
        <v>OpzHDD8TB</v>
      </c>
      <c r="J19" s="5">
        <f>VLOOKUP(L19,Tabella_prezzi!$A$3:$J$58,4,FALSE)</f>
        <v>285</v>
      </c>
      <c r="K19" s="5"/>
      <c r="L19" s="147" t="s">
        <v>63</v>
      </c>
      <c r="M19" s="4" t="str">
        <f>VLOOKUP(L19,Tabella_prezzi!$A$3:$J$58,6,FALSE)</f>
        <v>TS3L1-HDD8TB</v>
      </c>
    </row>
    <row r="20" spans="1:13" x14ac:dyDescent="0.25">
      <c r="A20" s="4" t="s">
        <v>65</v>
      </c>
      <c r="B20" s="8" t="s">
        <v>58</v>
      </c>
      <c r="C20" s="9">
        <v>5107763</v>
      </c>
      <c r="D20" s="5" t="str">
        <f>VLOOKUP(L20,Tabella_prezzi!$A$3:$J$58,8,FALSE)</f>
        <v>HDD 4TB 7.2K SATA 6Gbps 3.5in Hot-plug</v>
      </c>
      <c r="E20" s="10"/>
      <c r="F20" s="4" t="s">
        <v>66</v>
      </c>
      <c r="G20" s="8">
        <v>1</v>
      </c>
      <c r="H20" s="5" t="str">
        <f>VLOOKUP(L20,Tabella_prezzi!$A$3:$J$58,9,FALSE)</f>
        <v>L1N05-OpzHDD4TB</v>
      </c>
      <c r="I20" s="5" t="str">
        <f>VLOOKUP(L20,Tabella_prezzi!$A$3:$J$58,3,FALSE)</f>
        <v>OpzHDD4TB</v>
      </c>
      <c r="J20" s="5">
        <f>VLOOKUP(L20,Tabella_prezzi!$A$3:$J$58,4,FALSE)</f>
        <v>194</v>
      </c>
      <c r="K20" s="5"/>
      <c r="L20" s="147" t="s">
        <v>69</v>
      </c>
      <c r="M20" s="4" t="str">
        <f>VLOOKUP(L20,Tabella_prezzi!$A$3:$J$58,6,FALSE)</f>
        <v>TS3L1-HDD4TB</v>
      </c>
    </row>
    <row r="21" spans="1:13" x14ac:dyDescent="0.25">
      <c r="A21" s="4" t="s">
        <v>71</v>
      </c>
      <c r="B21" s="8" t="s">
        <v>58</v>
      </c>
      <c r="C21" s="9">
        <v>5107836</v>
      </c>
      <c r="D21" s="5" t="str">
        <f>VLOOKUP(L21,Tabella_prezzi!$A$3:$J$58,8,FALSE)</f>
        <v>HDD 2TB 7.2K SATA 6Gbps 3.5in Hot-plug</v>
      </c>
      <c r="E21" s="10"/>
      <c r="F21" s="4" t="s">
        <v>72</v>
      </c>
      <c r="G21" s="8">
        <v>1</v>
      </c>
      <c r="H21" s="5" t="str">
        <f>VLOOKUP(L21,Tabella_prezzi!$A$3:$J$58,9,FALSE)</f>
        <v>L1N06-OpzHDD2TB</v>
      </c>
      <c r="I21" s="5" t="str">
        <f>VLOOKUP(L21,Tabella_prezzi!$A$3:$J$58,3,FALSE)</f>
        <v>OpzHDD2TB</v>
      </c>
      <c r="J21" s="5">
        <f>VLOOKUP(L21,Tabella_prezzi!$A$3:$J$58,4,FALSE)</f>
        <v>148</v>
      </c>
      <c r="K21" s="5"/>
      <c r="L21" s="147" t="s">
        <v>75</v>
      </c>
      <c r="M21" s="4" t="str">
        <f>VLOOKUP(L21,Tabella_prezzi!$A$3:$J$58,6,FALSE)</f>
        <v>TS3L1-HDD2TB</v>
      </c>
    </row>
    <row r="22" spans="1:13" x14ac:dyDescent="0.25">
      <c r="A22" s="4" t="s">
        <v>77</v>
      </c>
      <c r="B22" s="8" t="s">
        <v>58</v>
      </c>
      <c r="C22" s="9" t="s">
        <v>78</v>
      </c>
      <c r="D22" s="5" t="str">
        <f>VLOOKUP(L22,Tabella_prezzi!$A$3:$J$58,8,FALSE)</f>
        <v>HDD 1TB 7.2K SATA 6Gbps 3.5in Hot-plug</v>
      </c>
      <c r="E22" s="10"/>
      <c r="F22" s="4" t="s">
        <v>79</v>
      </c>
      <c r="G22" s="8">
        <v>1</v>
      </c>
      <c r="H22" s="5" t="str">
        <f>VLOOKUP(L22,Tabella_prezzi!$A$3:$J$58,9,FALSE)</f>
        <v>L1N07-OpzHDD1TB</v>
      </c>
      <c r="I22" s="5" t="str">
        <f>VLOOKUP(L22,Tabella_prezzi!$A$3:$J$58,3,FALSE)</f>
        <v>OpzHDD1TB</v>
      </c>
      <c r="J22" s="5">
        <f>VLOOKUP(L22,Tabella_prezzi!$A$3:$J$58,4,FALSE)</f>
        <v>80</v>
      </c>
      <c r="K22" s="5"/>
      <c r="L22" s="147" t="s">
        <v>82</v>
      </c>
      <c r="M22" s="4" t="str">
        <f>VLOOKUP(L22,Tabella_prezzi!$A$3:$J$58,6,FALSE)</f>
        <v>TS3L1-HDD1TB</v>
      </c>
    </row>
    <row r="23" spans="1:13" x14ac:dyDescent="0.25">
      <c r="A23" s="13" t="s">
        <v>363</v>
      </c>
      <c r="B23" s="14" t="s">
        <v>58</v>
      </c>
      <c r="C23" s="15" t="s">
        <v>84</v>
      </c>
      <c r="D23" s="5" t="str">
        <f>VLOOKUP(L23,Tabella_prezzi!$A$3:$J$58,8,FALSE)</f>
        <v>SSD 960GB SATA RI 6Gbps 2.5in in 3.5in Hybrid Carrier, 1 DWPD</v>
      </c>
      <c r="E23" s="16"/>
      <c r="F23" s="13" t="s">
        <v>85</v>
      </c>
      <c r="G23" s="8">
        <v>1</v>
      </c>
      <c r="H23" s="5" t="str">
        <f>VLOOKUP(L23,Tabella_prezzi!$A$3:$J$58,9,FALSE)</f>
        <v>L1N08-OpzSSD-RI800GB</v>
      </c>
      <c r="I23" s="5" t="str">
        <f>VLOOKUP(L23,Tabella_prezzi!$A$3:$J$58,3,FALSE)</f>
        <v>OpzSSD-RI800GB</v>
      </c>
      <c r="J23" s="5">
        <f>VLOOKUP(L23,Tabella_prezzi!$A$3:$J$58,4,FALSE)</f>
        <v>216</v>
      </c>
      <c r="K23" s="5"/>
      <c r="L23" s="147" t="s">
        <v>87</v>
      </c>
      <c r="M23" s="4" t="str">
        <f>VLOOKUP(L23,Tabella_prezzi!$A$3:$J$58,6,FALSE)</f>
        <v>TS3L1-RI800GB</v>
      </c>
    </row>
    <row r="24" spans="1:13" x14ac:dyDescent="0.25">
      <c r="A24" s="4" t="s">
        <v>364</v>
      </c>
      <c r="B24" s="8" t="s">
        <v>58</v>
      </c>
      <c r="C24" s="9" t="s">
        <v>89</v>
      </c>
      <c r="D24" s="5" t="str">
        <f>VLOOKUP(L24,Tabella_prezzi!$A$3:$J$58,8,FALSE)</f>
        <v>SSD 480GB SATA RI 6Gbps 2.5in in 3.5in Hybrid Carrier, 1 DWPD</v>
      </c>
      <c r="E24" s="10"/>
      <c r="F24" s="4" t="s">
        <v>90</v>
      </c>
      <c r="G24" s="8">
        <v>1</v>
      </c>
      <c r="H24" s="5" t="str">
        <f>VLOOKUP(L24,Tabella_prezzi!$A$3:$J$58,9,FALSE)</f>
        <v>L1N09-OpzSSD-RI400GB</v>
      </c>
      <c r="I24" s="5" t="str">
        <f>VLOOKUP(L24,Tabella_prezzi!$A$3:$J$58,3,FALSE)</f>
        <v>OpzSSD-RI400GB</v>
      </c>
      <c r="J24" s="5">
        <f>VLOOKUP(L24,Tabella_prezzi!$A$3:$J$58,4,FALSE)</f>
        <v>160</v>
      </c>
      <c r="K24" s="5"/>
      <c r="L24" s="147" t="s">
        <v>93</v>
      </c>
      <c r="M24" s="4" t="str">
        <f>VLOOKUP(L24,Tabella_prezzi!$A$3:$J$58,6,FALSE)</f>
        <v>TS3L1-RI400GB</v>
      </c>
    </row>
    <row r="26" spans="1:13" x14ac:dyDescent="0.25">
      <c r="A26" s="7" t="s">
        <v>95</v>
      </c>
    </row>
    <row r="27" spans="1:13" x14ac:dyDescent="0.25">
      <c r="A27" s="4" t="s">
        <v>96</v>
      </c>
      <c r="B27" s="4" t="s">
        <v>15</v>
      </c>
      <c r="C27" s="9" t="s">
        <v>97</v>
      </c>
      <c r="D27" s="4" t="s">
        <v>96</v>
      </c>
      <c r="E27" s="10"/>
      <c r="F27" s="4" t="s">
        <v>98</v>
      </c>
      <c r="G27" s="8" t="str">
        <f>""</f>
        <v/>
      </c>
      <c r="H27" s="11"/>
      <c r="I27" s="4" t="str">
        <f>""</f>
        <v/>
      </c>
      <c r="J27" s="5"/>
      <c r="K27" s="5">
        <v>0</v>
      </c>
      <c r="L27" s="4" t="str">
        <f>""</f>
        <v/>
      </c>
      <c r="M27" s="4" t="str">
        <f>""</f>
        <v/>
      </c>
    </row>
    <row r="28" spans="1:13" x14ac:dyDescent="0.25">
      <c r="A28" s="28" t="s">
        <v>206</v>
      </c>
      <c r="B28" s="4"/>
      <c r="C28" s="9"/>
      <c r="D28" s="4"/>
      <c r="E28" s="10"/>
      <c r="F28" s="4"/>
      <c r="G28" s="8" t="str">
        <f>""</f>
        <v/>
      </c>
      <c r="H28" s="11"/>
      <c r="I28" s="4" t="str">
        <f>""</f>
        <v/>
      </c>
      <c r="J28" s="5"/>
      <c r="K28" s="5"/>
      <c r="L28" s="4" t="str">
        <f>""</f>
        <v/>
      </c>
      <c r="M28" s="4" t="str">
        <f>""</f>
        <v/>
      </c>
    </row>
    <row r="29" spans="1:13" x14ac:dyDescent="0.25">
      <c r="A29" s="17" t="s">
        <v>398</v>
      </c>
      <c r="B29" s="17" t="s">
        <v>15</v>
      </c>
      <c r="C29" s="18" t="s">
        <v>99</v>
      </c>
      <c r="D29" s="20" t="str">
        <f>VLOOKUP(L29,Tabella_prezzi!$A$3:$J$58,8,FALSE)</f>
        <v>Kit per T340 composto da: Hot-plug Power Supply 495W, DVD+/-RW SATA interno, Security Bezel</v>
      </c>
      <c r="E29" s="19"/>
      <c r="F29" s="17" t="s">
        <v>100</v>
      </c>
      <c r="G29" s="17">
        <v>1</v>
      </c>
      <c r="H29" s="20" t="str">
        <f>VLOOKUP(L29,Tabella_prezzi!$A$3:$J$58,9,FALSE)</f>
        <v>TS3-OpzA20T340K</v>
      </c>
      <c r="I29" s="20">
        <f>VLOOKUP(L29,Tabella_prezzi!$A$3:$J$58,3,FALSE)</f>
        <v>0</v>
      </c>
      <c r="J29" s="20"/>
      <c r="K29" s="20">
        <f>VLOOKUP(L29,Tabella_prezzi!$A$3:$J$58,4,FALSE)</f>
        <v>230</v>
      </c>
      <c r="L29" s="147" t="s">
        <v>102</v>
      </c>
      <c r="M29" s="4" t="str">
        <f>VLOOKUP(L29,Tabella_prezzi!$A$3:$J$58,6,FALSE)</f>
        <v>TS3L1-PSUDVDBZL</v>
      </c>
    </row>
    <row r="31" spans="1:13" x14ac:dyDescent="0.25">
      <c r="A31" s="7" t="s">
        <v>103</v>
      </c>
    </row>
    <row r="32" spans="1:13" x14ac:dyDescent="0.25">
      <c r="A32" s="13" t="s">
        <v>152</v>
      </c>
      <c r="B32" s="8"/>
      <c r="C32" s="9"/>
      <c r="D32" s="4"/>
      <c r="E32" s="10"/>
      <c r="F32" s="148" t="s">
        <v>330</v>
      </c>
      <c r="G32" s="8" t="str">
        <f>""</f>
        <v/>
      </c>
      <c r="H32" s="11"/>
      <c r="I32" s="4" t="str">
        <f>""</f>
        <v/>
      </c>
      <c r="J32" s="5"/>
      <c r="K32" s="5"/>
      <c r="L32" s="4" t="str">
        <f>""</f>
        <v/>
      </c>
      <c r="M32" s="4" t="str">
        <f>""</f>
        <v/>
      </c>
    </row>
    <row r="34" spans="1:13" x14ac:dyDescent="0.25">
      <c r="A34" s="7" t="s">
        <v>149</v>
      </c>
    </row>
    <row r="35" spans="1:13" x14ac:dyDescent="0.25">
      <c r="A35" s="4" t="str">
        <f>""</f>
        <v/>
      </c>
      <c r="B35" s="8"/>
      <c r="C35" s="9"/>
      <c r="D35" s="4"/>
      <c r="E35" s="10"/>
      <c r="F35" s="4"/>
      <c r="G35" s="8" t="str">
        <f>""</f>
        <v/>
      </c>
      <c r="H35" s="11"/>
      <c r="I35" s="4" t="str">
        <f>""</f>
        <v/>
      </c>
      <c r="J35" s="5"/>
      <c r="K35" s="5"/>
      <c r="L35" s="4" t="str">
        <f>""</f>
        <v/>
      </c>
      <c r="M35" s="4" t="str">
        <f>""</f>
        <v/>
      </c>
    </row>
    <row r="36" spans="1:13" x14ac:dyDescent="0.25">
      <c r="A36" s="4" t="s">
        <v>104</v>
      </c>
      <c r="B36" s="8" t="s">
        <v>105</v>
      </c>
      <c r="C36" s="9" t="s">
        <v>106</v>
      </c>
      <c r="D36" s="5" t="str">
        <f>VLOOKUP(L36,Tabella_prezzi!$A$3:$J$58,8,FALSE)</f>
        <v>Scheda LAN 5720 DP 1Gb Full</v>
      </c>
      <c r="E36" s="10"/>
      <c r="F36" s="4" t="s">
        <v>107</v>
      </c>
      <c r="G36" s="8">
        <v>1</v>
      </c>
      <c r="H36" s="5" t="str">
        <f>VLOOKUP(L36,Tabella_prezzi!$A$3:$J$58,9,FALSE)</f>
        <v>L1N03-OpzGigabit</v>
      </c>
      <c r="I36" s="5" t="str">
        <f>VLOOKUP(L36,Tabella_prezzi!$A$3:$J$58,3,FALSE)</f>
        <v>OpzGigabit</v>
      </c>
      <c r="J36" s="5">
        <f>VLOOKUP(L36,Tabella_prezzi!$A$3:$J$58,4,FALSE)</f>
        <v>25</v>
      </c>
      <c r="K36" s="5"/>
      <c r="L36" s="147" t="s">
        <v>110</v>
      </c>
      <c r="M36" s="4" t="str">
        <f>VLOOKUP(L36,Tabella_prezzi!$A$3:$J$58,6,FALSE)</f>
        <v>TS3L1-LAN1</v>
      </c>
    </row>
    <row r="37" spans="1:13" x14ac:dyDescent="0.25">
      <c r="A37" s="28" t="s">
        <v>206</v>
      </c>
      <c r="B37" s="4"/>
      <c r="C37" s="9"/>
      <c r="D37" s="4"/>
      <c r="E37" s="10"/>
      <c r="F37" s="4"/>
      <c r="G37" s="8" t="str">
        <f>""</f>
        <v/>
      </c>
      <c r="H37" s="11"/>
      <c r="I37" s="4" t="str">
        <f>""</f>
        <v/>
      </c>
      <c r="J37" s="5"/>
      <c r="K37" s="5"/>
      <c r="L37" s="4" t="str">
        <f>""</f>
        <v/>
      </c>
      <c r="M37" s="4" t="str">
        <f>""</f>
        <v/>
      </c>
    </row>
    <row r="38" spans="1:13" x14ac:dyDescent="0.25">
      <c r="A38" s="17" t="s">
        <v>112</v>
      </c>
      <c r="B38" s="17" t="s">
        <v>105</v>
      </c>
      <c r="C38" s="18" t="s">
        <v>113</v>
      </c>
      <c r="D38" s="20" t="str">
        <f>VLOOKUP(L38,Tabella_prezzi!$A$3:$J$58,8,FALSE)</f>
        <v>Hard Disk Retention 60 mesi</v>
      </c>
      <c r="E38" s="19"/>
      <c r="F38" s="17" t="s">
        <v>114</v>
      </c>
      <c r="G38" s="17">
        <v>1</v>
      </c>
      <c r="H38" s="20" t="str">
        <f>VLOOKUP(L38,Tabella_prezzi!$A$3:$J$58,9,FALSE)</f>
        <v>L1N19-OpzHDDRetention60</v>
      </c>
      <c r="I38" s="20" t="str">
        <f>VLOOKUP(L38,Tabella_prezzi!$A$3:$J$58,3,FALSE)</f>
        <v>OpzHDDRetention60</v>
      </c>
      <c r="J38" s="20"/>
      <c r="K38" s="20">
        <f>VLOOKUP(L38,Tabella_prezzi!$A$3:$J$58,4,FALSE)</f>
        <v>63</v>
      </c>
      <c r="L38" s="147" t="s">
        <v>115</v>
      </c>
      <c r="M38" s="4" t="str">
        <f>VLOOKUP(L38,Tabella_prezzi!$A$3:$J$58,6,FALSE)</f>
        <v>TS3L1-HDRTNTN60</v>
      </c>
    </row>
    <row r="39" spans="1:13" x14ac:dyDescent="0.25">
      <c r="A39" s="17" t="s">
        <v>117</v>
      </c>
      <c r="B39" s="17" t="s">
        <v>105</v>
      </c>
      <c r="C39" s="18" t="s">
        <v>118</v>
      </c>
      <c r="D39" s="20">
        <f>VLOOKUP(L39,Tabella_prezzi!$A$3:$J$58,8,FALSE)</f>
        <v>0</v>
      </c>
      <c r="E39" s="19"/>
      <c r="F39" s="17" t="s">
        <v>119</v>
      </c>
      <c r="G39" s="17">
        <v>1</v>
      </c>
      <c r="H39" s="20">
        <f>VLOOKUP(L39,Tabella_prezzi!$A$3:$J$58,9,FALSE)</f>
        <v>0</v>
      </c>
      <c r="I39" s="20">
        <f>VLOOKUP(L39,Tabella_prezzi!$A$3:$J$58,3,FALSE)</f>
        <v>0</v>
      </c>
      <c r="J39" s="20"/>
      <c r="K39" s="20">
        <f>VLOOKUP(L39,Tabella_prezzi!$A$3:$J$58,4,FALSE)</f>
        <v>0</v>
      </c>
      <c r="L39" s="147" t="s">
        <v>120</v>
      </c>
      <c r="M39" s="4">
        <f>VLOOKUP(L39,Tabella_prezzi!$A$3:$J$58,6,FALSE)</f>
        <v>0</v>
      </c>
    </row>
    <row r="40" spans="1:13" x14ac:dyDescent="0.25">
      <c r="A40" s="17" t="s">
        <v>122</v>
      </c>
      <c r="B40" s="17" t="s">
        <v>105</v>
      </c>
      <c r="C40" s="18" t="s">
        <v>123</v>
      </c>
      <c r="D40" s="20">
        <f>VLOOKUP(L40,Tabella_prezzi!$A$3:$J$58,8,FALSE)</f>
        <v>0</v>
      </c>
      <c r="E40" s="19"/>
      <c r="F40" s="17" t="s">
        <v>124</v>
      </c>
      <c r="G40" s="17">
        <v>1</v>
      </c>
      <c r="H40" s="20">
        <f>VLOOKUP(L40,Tabella_prezzi!$A$3:$J$58,9,FALSE)</f>
        <v>0</v>
      </c>
      <c r="I40" s="20">
        <f>VLOOKUP(L40,Tabella_prezzi!$A$3:$J$58,3,FALSE)</f>
        <v>0</v>
      </c>
      <c r="J40" s="20"/>
      <c r="K40" s="20">
        <f>VLOOKUP(L40,Tabella_prezzi!$A$3:$J$58,4,FALSE)</f>
        <v>0</v>
      </c>
      <c r="L40" s="147" t="s">
        <v>125</v>
      </c>
      <c r="M40" s="4">
        <f>VLOOKUP(L40,Tabella_prezzi!$A$3:$J$58,6,FALSE)</f>
        <v>0</v>
      </c>
    </row>
    <row r="41" spans="1:13" x14ac:dyDescent="0.25">
      <c r="A41" s="17" t="s">
        <v>127</v>
      </c>
      <c r="B41" s="17" t="s">
        <v>105</v>
      </c>
      <c r="C41" s="18" t="s">
        <v>128</v>
      </c>
      <c r="D41" s="20">
        <f>VLOOKUP(L41,Tabella_prezzi!$A$3:$J$58,8,FALSE)</f>
        <v>0</v>
      </c>
      <c r="E41" s="19"/>
      <c r="F41" s="17" t="s">
        <v>129</v>
      </c>
      <c r="G41" s="17">
        <v>1</v>
      </c>
      <c r="H41" s="20">
        <f>VLOOKUP(L41,Tabella_prezzi!$A$3:$J$58,9,FALSE)</f>
        <v>0</v>
      </c>
      <c r="I41" s="20">
        <f>VLOOKUP(L41,Tabella_prezzi!$A$3:$J$58,3,FALSE)</f>
        <v>0</v>
      </c>
      <c r="J41" s="20"/>
      <c r="K41" s="20">
        <f>VLOOKUP(L41,Tabella_prezzi!$A$3:$J$58,4,FALSE)</f>
        <v>0</v>
      </c>
      <c r="L41" s="147" t="s">
        <v>130</v>
      </c>
      <c r="M41" s="4">
        <f>VLOOKUP(L41,Tabella_prezzi!$A$3:$J$58,6,FALSE)</f>
        <v>0</v>
      </c>
    </row>
    <row r="42" spans="1:13" x14ac:dyDescent="0.25">
      <c r="A42" s="17" t="s">
        <v>132</v>
      </c>
      <c r="B42" s="17" t="s">
        <v>105</v>
      </c>
      <c r="C42" s="18" t="s">
        <v>133</v>
      </c>
      <c r="D42" s="20">
        <f>VLOOKUP(L42,Tabella_prezzi!$A$3:$J$58,8,FALSE)</f>
        <v>0</v>
      </c>
      <c r="E42" s="19"/>
      <c r="F42" s="17" t="s">
        <v>134</v>
      </c>
      <c r="G42" s="17">
        <v>1</v>
      </c>
      <c r="H42" s="20">
        <f>VLOOKUP(L42,Tabella_prezzi!$A$3:$J$58,9,FALSE)</f>
        <v>0</v>
      </c>
      <c r="I42" s="20">
        <f>VLOOKUP(L42,Tabella_prezzi!$A$3:$J$58,3,FALSE)</f>
        <v>0</v>
      </c>
      <c r="J42" s="20"/>
      <c r="K42" s="20">
        <f>VLOOKUP(L42,Tabella_prezzi!$A$3:$J$58,4,FALSE)</f>
        <v>0</v>
      </c>
      <c r="L42" s="147" t="s">
        <v>135</v>
      </c>
      <c r="M42" s="4">
        <f>VLOOKUP(L42,Tabella_prezzi!$A$3:$J$58,6,FALSE)</f>
        <v>0</v>
      </c>
    </row>
    <row r="43" spans="1:13" x14ac:dyDescent="0.25">
      <c r="A43" s="17" t="s">
        <v>137</v>
      </c>
      <c r="B43" s="17" t="s">
        <v>138</v>
      </c>
      <c r="C43" s="18" t="s">
        <v>139</v>
      </c>
      <c r="D43" s="20">
        <f>VLOOKUP(L43,Tabella_prezzi!$A$3:$J$58,8,FALSE)</f>
        <v>0</v>
      </c>
      <c r="E43" s="19"/>
      <c r="F43" s="17" t="s">
        <v>140</v>
      </c>
      <c r="G43" s="17">
        <v>1</v>
      </c>
      <c r="H43" s="20">
        <f>VLOOKUP(L43,Tabella_prezzi!$A$3:$J$58,9,FALSE)</f>
        <v>0</v>
      </c>
      <c r="I43" s="20">
        <f>VLOOKUP(L43,Tabella_prezzi!$A$3:$J$58,3,FALSE)</f>
        <v>0</v>
      </c>
      <c r="J43" s="20"/>
      <c r="K43" s="20">
        <f>VLOOKUP(L43,Tabella_prezzi!$A$3:$J$58,4,FALSE)</f>
        <v>0</v>
      </c>
      <c r="L43" s="147" t="s">
        <v>141</v>
      </c>
      <c r="M43" s="4">
        <f>VLOOKUP(L43,Tabella_prezzi!$A$3:$J$58,6,FALSE)</f>
        <v>0</v>
      </c>
    </row>
    <row r="44" spans="1:13" x14ac:dyDescent="0.25">
      <c r="A44" s="17" t="s">
        <v>143</v>
      </c>
      <c r="B44" s="17" t="s">
        <v>144</v>
      </c>
      <c r="C44" s="18" t="s">
        <v>145</v>
      </c>
      <c r="D44" s="20">
        <f>VLOOKUP(L44,Tabella_prezzi!$A$3:$J$58,8,FALSE)</f>
        <v>0</v>
      </c>
      <c r="E44" s="19"/>
      <c r="F44" s="17" t="s">
        <v>146</v>
      </c>
      <c r="G44" s="17">
        <v>1</v>
      </c>
      <c r="H44" s="20">
        <f>VLOOKUP(L44,Tabella_prezzi!$A$3:$J$58,9,FALSE)</f>
        <v>0</v>
      </c>
      <c r="I44" s="20">
        <f>VLOOKUP(L44,Tabella_prezzi!$A$3:$J$58,3,FALSE)</f>
        <v>0</v>
      </c>
      <c r="J44" s="20"/>
      <c r="K44" s="20">
        <f>VLOOKUP(L44,Tabella_prezzi!$A$3:$J$58,4,FALSE)</f>
        <v>0</v>
      </c>
      <c r="L44" s="147" t="s">
        <v>147</v>
      </c>
      <c r="M44" s="4">
        <f>VLOOKUP(L44,Tabella_prezzi!$A$3:$J$58,6,FALSE)</f>
        <v>0</v>
      </c>
    </row>
    <row r="46" spans="1:13" x14ac:dyDescent="0.25">
      <c r="A46" s="7" t="s">
        <v>150</v>
      </c>
    </row>
    <row r="47" spans="1:13" x14ac:dyDescent="0.25">
      <c r="A47" s="4" t="str">
        <f>""</f>
        <v/>
      </c>
      <c r="B47" s="8"/>
      <c r="C47" s="9"/>
      <c r="D47" s="4"/>
      <c r="E47" s="10"/>
      <c r="F47" s="4"/>
      <c r="G47" s="8" t="str">
        <f>""</f>
        <v/>
      </c>
      <c r="H47" s="11"/>
      <c r="I47" s="4" t="str">
        <f>""</f>
        <v/>
      </c>
      <c r="J47" s="5"/>
      <c r="K47" s="5"/>
      <c r="L47" s="4" t="str">
        <f>""</f>
        <v/>
      </c>
      <c r="M47" s="4" t="str">
        <f>""</f>
        <v/>
      </c>
    </row>
    <row r="48" spans="1:13" x14ac:dyDescent="0.25">
      <c r="A48" s="4" t="s">
        <v>104</v>
      </c>
      <c r="B48" s="8" t="s">
        <v>105</v>
      </c>
      <c r="C48" s="9" t="s">
        <v>106</v>
      </c>
      <c r="D48" s="5" t="str">
        <f>VLOOKUP(L48,Tabella_prezzi!$A$3:$J$58,8,FALSE)</f>
        <v>Scheda LAN 5720 DP 1Gb Full</v>
      </c>
      <c r="E48" s="10"/>
      <c r="F48" s="4" t="s">
        <v>107</v>
      </c>
      <c r="G48" s="8">
        <v>1</v>
      </c>
      <c r="H48" s="5" t="str">
        <f>VLOOKUP(L48,Tabella_prezzi!$A$3:$J$58,9,FALSE)</f>
        <v>L1N03-OpzGigabit</v>
      </c>
      <c r="I48" s="5" t="str">
        <f>VLOOKUP(L48,Tabella_prezzi!$A$3:$J$58,3,FALSE)</f>
        <v>OpzGigabit</v>
      </c>
      <c r="J48" s="5">
        <f>VLOOKUP(L48,Tabella_prezzi!$A$3:$J$58,4,FALSE)</f>
        <v>25</v>
      </c>
      <c r="K48" s="5"/>
      <c r="L48" s="147" t="s">
        <v>110</v>
      </c>
      <c r="M48" s="4" t="str">
        <f>VLOOKUP(L48,Tabella_prezzi!$A$3:$J$58,6,FALSE)</f>
        <v>TS3L1-LAN1</v>
      </c>
    </row>
    <row r="50" spans="1:13" x14ac:dyDescent="0.25">
      <c r="A50" s="7" t="s">
        <v>151</v>
      </c>
    </row>
    <row r="51" spans="1:13" x14ac:dyDescent="0.25">
      <c r="A51" s="4" t="str">
        <f>""</f>
        <v/>
      </c>
      <c r="B51" s="8"/>
      <c r="C51" s="9"/>
      <c r="D51" s="4"/>
      <c r="E51" s="10"/>
      <c r="F51" s="4"/>
      <c r="G51" s="8" t="str">
        <f>""</f>
        <v/>
      </c>
      <c r="H51" s="11"/>
      <c r="I51" s="4" t="str">
        <f>""</f>
        <v/>
      </c>
      <c r="J51" s="5"/>
      <c r="K51" s="5"/>
      <c r="L51" s="4" t="str">
        <f>""</f>
        <v/>
      </c>
      <c r="M51" s="4" t="str">
        <f>""</f>
        <v/>
      </c>
    </row>
    <row r="52" spans="1:13" x14ac:dyDescent="0.25">
      <c r="A52" s="4" t="s">
        <v>104</v>
      </c>
      <c r="B52" s="8" t="s">
        <v>105</v>
      </c>
      <c r="C52" s="9" t="s">
        <v>106</v>
      </c>
      <c r="D52" s="5" t="str">
        <f>VLOOKUP(L52,Tabella_prezzi!$A$3:$J$58,8,FALSE)</f>
        <v>Scheda LAN 5720 DP 1Gb Full</v>
      </c>
      <c r="E52" s="10"/>
      <c r="F52" s="4" t="s">
        <v>107</v>
      </c>
      <c r="G52" s="8">
        <v>1</v>
      </c>
      <c r="H52" s="5" t="str">
        <f>VLOOKUP(L52,Tabella_prezzi!$A$3:$J$58,9,FALSE)</f>
        <v>L1N03-OpzGigabit</v>
      </c>
      <c r="I52" s="5" t="str">
        <f>VLOOKUP(L52,Tabella_prezzi!$A$3:$J$58,3,FALSE)</f>
        <v>OpzGigabit</v>
      </c>
      <c r="J52" s="5">
        <f>VLOOKUP(L52,Tabella_prezzi!$A$3:$J$58,4,FALSE)</f>
        <v>25</v>
      </c>
      <c r="K52" s="5"/>
      <c r="L52" s="147" t="s">
        <v>110</v>
      </c>
      <c r="M52" s="4" t="str">
        <f>VLOOKUP(L52,Tabella_prezzi!$A$3:$J$58,6,FALSE)</f>
        <v>TS3L1-LAN1</v>
      </c>
    </row>
    <row r="53" spans="1:13" x14ac:dyDescent="0.25">
      <c r="A53" s="28" t="s">
        <v>206</v>
      </c>
      <c r="B53" s="4"/>
      <c r="C53" s="9"/>
      <c r="D53" s="4"/>
      <c r="E53" s="10"/>
      <c r="F53" s="4"/>
      <c r="G53" s="8" t="str">
        <f>""</f>
        <v/>
      </c>
      <c r="H53" s="11"/>
      <c r="I53" s="4" t="str">
        <f>""</f>
        <v/>
      </c>
      <c r="J53" s="5"/>
      <c r="K53" s="5"/>
      <c r="L53" s="4" t="str">
        <f>""</f>
        <v/>
      </c>
      <c r="M53" s="4" t="str">
        <f>""</f>
        <v/>
      </c>
    </row>
    <row r="54" spans="1:13" x14ac:dyDescent="0.25">
      <c r="A54" s="17" t="s">
        <v>112</v>
      </c>
      <c r="B54" s="17" t="s">
        <v>105</v>
      </c>
      <c r="C54" s="18" t="s">
        <v>113</v>
      </c>
      <c r="D54" s="20" t="str">
        <f>VLOOKUP(L54,Tabella_prezzi!$A$3:$J$58,8,FALSE)</f>
        <v>Hard Disk Retention 60 mesi</v>
      </c>
      <c r="E54" s="19"/>
      <c r="F54" s="17" t="s">
        <v>114</v>
      </c>
      <c r="G54" s="17">
        <v>1</v>
      </c>
      <c r="H54" s="20" t="str">
        <f>VLOOKUP(L54,Tabella_prezzi!$A$3:$J$58,9,FALSE)</f>
        <v>L1N19-OpzHDDRetention60</v>
      </c>
      <c r="I54" s="20" t="str">
        <f>VLOOKUP(L54,Tabella_prezzi!$A$3:$J$58,3,FALSE)</f>
        <v>OpzHDDRetention60</v>
      </c>
      <c r="J54" s="20"/>
      <c r="K54" s="20">
        <f>VLOOKUP(L54,Tabella_prezzi!$A$3:$J$58,4,FALSE)</f>
        <v>63</v>
      </c>
      <c r="L54" s="147" t="s">
        <v>115</v>
      </c>
      <c r="M54" s="4" t="str">
        <f>VLOOKUP(L54,Tabella_prezzi!$A$3:$J$58,6,FALSE)</f>
        <v>TS3L1-HDRTNTN60</v>
      </c>
    </row>
    <row r="55" spans="1:13" x14ac:dyDescent="0.25">
      <c r="A55" s="17" t="s">
        <v>117</v>
      </c>
      <c r="B55" s="17" t="s">
        <v>105</v>
      </c>
      <c r="C55" s="18" t="s">
        <v>118</v>
      </c>
      <c r="D55" s="20">
        <f>VLOOKUP(L55,Tabella_prezzi!$A$3:$J$58,8,FALSE)</f>
        <v>0</v>
      </c>
      <c r="E55" s="19"/>
      <c r="F55" s="17" t="s">
        <v>119</v>
      </c>
      <c r="G55" s="17">
        <v>1</v>
      </c>
      <c r="H55" s="20">
        <f>VLOOKUP(L55,Tabella_prezzi!$A$3:$J$58,9,FALSE)</f>
        <v>0</v>
      </c>
      <c r="I55" s="20">
        <f>VLOOKUP(L55,Tabella_prezzi!$A$3:$J$58,3,FALSE)</f>
        <v>0</v>
      </c>
      <c r="J55" s="20"/>
      <c r="K55" s="20">
        <f>VLOOKUP(L55,Tabella_prezzi!$A$3:$J$58,4,FALSE)</f>
        <v>0</v>
      </c>
      <c r="L55" s="147" t="s">
        <v>120</v>
      </c>
      <c r="M55" s="4">
        <f>VLOOKUP(L55,Tabella_prezzi!$A$3:$J$58,6,FALSE)</f>
        <v>0</v>
      </c>
    </row>
    <row r="56" spans="1:13" x14ac:dyDescent="0.25">
      <c r="A56" s="17" t="s">
        <v>122</v>
      </c>
      <c r="B56" s="17" t="s">
        <v>105</v>
      </c>
      <c r="C56" s="18" t="s">
        <v>123</v>
      </c>
      <c r="D56" s="20">
        <f>VLOOKUP(L56,Tabella_prezzi!$A$3:$J$58,8,FALSE)</f>
        <v>0</v>
      </c>
      <c r="E56" s="19"/>
      <c r="F56" s="17" t="s">
        <v>124</v>
      </c>
      <c r="G56" s="17">
        <v>1</v>
      </c>
      <c r="H56" s="20">
        <f>VLOOKUP(L56,Tabella_prezzi!$A$3:$J$58,9,FALSE)</f>
        <v>0</v>
      </c>
      <c r="I56" s="20">
        <f>VLOOKUP(L56,Tabella_prezzi!$A$3:$J$58,3,FALSE)</f>
        <v>0</v>
      </c>
      <c r="J56" s="20"/>
      <c r="K56" s="20">
        <f>VLOOKUP(L56,Tabella_prezzi!$A$3:$J$58,4,FALSE)</f>
        <v>0</v>
      </c>
      <c r="L56" s="147" t="s">
        <v>125</v>
      </c>
      <c r="M56" s="4">
        <f>VLOOKUP(L56,Tabella_prezzi!$A$3:$J$58,6,FALSE)</f>
        <v>0</v>
      </c>
    </row>
    <row r="58" spans="1:13" x14ac:dyDescent="0.25">
      <c r="A58" s="27" t="s">
        <v>321</v>
      </c>
      <c r="B58" s="8"/>
      <c r="C58" s="9"/>
      <c r="D58" s="4"/>
      <c r="E58" s="10"/>
      <c r="F58" s="4"/>
      <c r="G58" s="8" t="str">
        <f>""</f>
        <v/>
      </c>
      <c r="H58" s="11"/>
      <c r="I58" s="5" t="str">
        <f>VLOOKUP(L58,Tabella_prezzi!$A$3:$J$58,3,FALSE)</f>
        <v>OpzRJ45 3m</v>
      </c>
      <c r="J58" s="20"/>
      <c r="K58" s="5">
        <f>VLOOKUP(L58,Tabella_prezzi!$A$3:$J$58,4,FALSE)</f>
        <v>3</v>
      </c>
      <c r="L58" s="147" t="s">
        <v>162</v>
      </c>
      <c r="M58" s="4" t="str">
        <f>VLOOKUP(L58,Tabella_prezzi!$A$3:$J$58,6,FALSE)</f>
        <v>TS3L1-RJ453M</v>
      </c>
    </row>
    <row r="61" spans="1:13" x14ac:dyDescent="0.25">
      <c r="A61" s="7" t="s">
        <v>153</v>
      </c>
    </row>
    <row r="62" spans="1:13" x14ac:dyDescent="0.25">
      <c r="A62" s="4" t="s">
        <v>154</v>
      </c>
      <c r="B62" s="8" t="s">
        <v>155</v>
      </c>
      <c r="C62" s="9" t="s">
        <v>156</v>
      </c>
      <c r="D62" s="4" t="s">
        <v>154</v>
      </c>
      <c r="E62" s="10"/>
      <c r="F62" s="4" t="s">
        <v>157</v>
      </c>
      <c r="G62" s="8" t="str">
        <f>""</f>
        <v/>
      </c>
      <c r="H62" s="11"/>
      <c r="I62" s="4" t="str">
        <f>""</f>
        <v/>
      </c>
      <c r="J62" s="4"/>
      <c r="K62" s="4">
        <v>0</v>
      </c>
      <c r="L62" s="4" t="str">
        <f>""</f>
        <v/>
      </c>
      <c r="M62" s="4" t="str">
        <f>""</f>
        <v/>
      </c>
    </row>
    <row r="63" spans="1:13" x14ac:dyDescent="0.25">
      <c r="A63" s="28" t="s">
        <v>206</v>
      </c>
      <c r="B63" s="4"/>
      <c r="C63" s="9"/>
      <c r="D63" s="4"/>
      <c r="E63" s="10"/>
      <c r="F63" s="4"/>
      <c r="G63" s="8" t="str">
        <f>""</f>
        <v/>
      </c>
      <c r="H63" s="11"/>
      <c r="I63" s="4" t="str">
        <f>""</f>
        <v/>
      </c>
      <c r="J63" s="5"/>
      <c r="K63" s="5"/>
      <c r="L63" s="4" t="str">
        <f>""</f>
        <v/>
      </c>
      <c r="M63" s="4" t="str">
        <f>""</f>
        <v/>
      </c>
    </row>
    <row r="64" spans="1:13" x14ac:dyDescent="0.25">
      <c r="A64" s="17" t="s">
        <v>396</v>
      </c>
      <c r="B64" s="17" t="s">
        <v>155</v>
      </c>
      <c r="C64" s="18" t="s">
        <v>158</v>
      </c>
      <c r="D64" s="17" t="s">
        <v>159</v>
      </c>
      <c r="E64" s="19"/>
      <c r="F64" s="17" t="s">
        <v>160</v>
      </c>
      <c r="G64" s="17">
        <v>1</v>
      </c>
      <c r="H64" s="20" t="str">
        <f>VLOOKUP(L64,Tabella_prezzi!$A$3:$J$58,9,FALSE)</f>
        <v>TS3-OpzA20T340K</v>
      </c>
      <c r="I64" s="20">
        <f>VLOOKUP(L64,Tabella_prezzi!$A$3:$J$58,3,FALSE)</f>
        <v>0</v>
      </c>
      <c r="J64" s="20"/>
      <c r="K64" s="20">
        <f>VLOOKUP(L64,Tabella_prezzi!$A$3:$J$58,4,FALSE)</f>
        <v>230</v>
      </c>
      <c r="L64" s="17" t="s">
        <v>102</v>
      </c>
      <c r="M64" s="4" t="str">
        <f>VLOOKUP(L64,Tabella_prezzi!$A$3:$J$58,6,FALSE)</f>
        <v>TS3L1-PSUDVDBZL</v>
      </c>
    </row>
    <row r="66" spans="1:14" x14ac:dyDescent="0.25">
      <c r="A66" s="7" t="s">
        <v>164</v>
      </c>
    </row>
    <row r="67" spans="1:14" x14ac:dyDescent="0.25">
      <c r="A67" s="4" t="s">
        <v>165</v>
      </c>
      <c r="B67" s="8" t="s">
        <v>166</v>
      </c>
      <c r="C67" s="9" t="s">
        <v>167</v>
      </c>
      <c r="D67" s="4" t="s">
        <v>165</v>
      </c>
      <c r="E67" s="10"/>
      <c r="F67" s="4" t="s">
        <v>168</v>
      </c>
      <c r="G67" s="8" t="str">
        <f>""</f>
        <v/>
      </c>
      <c r="H67" s="11"/>
      <c r="I67" s="4" t="str">
        <f>""</f>
        <v/>
      </c>
      <c r="J67" s="4"/>
      <c r="K67" s="4">
        <v>0</v>
      </c>
      <c r="L67" s="4" t="str">
        <f>""</f>
        <v/>
      </c>
      <c r="M67" s="4" t="str">
        <f>""</f>
        <v/>
      </c>
    </row>
    <row r="68" spans="1:14" x14ac:dyDescent="0.25">
      <c r="A68" s="28" t="s">
        <v>206</v>
      </c>
      <c r="B68" s="4"/>
      <c r="C68" s="9"/>
      <c r="D68" s="4"/>
      <c r="E68" s="10"/>
      <c r="F68" s="4"/>
      <c r="G68" s="8" t="str">
        <f>""</f>
        <v/>
      </c>
      <c r="H68" s="11"/>
      <c r="I68" s="4" t="str">
        <f>""</f>
        <v/>
      </c>
      <c r="J68" s="5"/>
      <c r="K68" s="5"/>
      <c r="L68" s="4" t="str">
        <f>""</f>
        <v/>
      </c>
      <c r="M68" s="4" t="str">
        <f>""</f>
        <v/>
      </c>
    </row>
    <row r="69" spans="1:14" x14ac:dyDescent="0.25">
      <c r="A69" s="17" t="s">
        <v>397</v>
      </c>
      <c r="B69" s="17" t="s">
        <v>166</v>
      </c>
      <c r="C69" s="18" t="s">
        <v>169</v>
      </c>
      <c r="D69" s="17" t="s">
        <v>170</v>
      </c>
      <c r="E69" s="19"/>
      <c r="F69" s="17" t="s">
        <v>171</v>
      </c>
      <c r="G69" s="17">
        <v>1</v>
      </c>
      <c r="H69" s="20" t="str">
        <f>VLOOKUP(L69,Tabella_prezzi!$A$3:$J$58,9,FALSE)</f>
        <v>TS3-OpzA20T340K</v>
      </c>
      <c r="I69" s="20">
        <f>VLOOKUP(L69,Tabella_prezzi!$A$3:$J$58,3,FALSE)</f>
        <v>0</v>
      </c>
      <c r="J69" s="20"/>
      <c r="K69" s="20">
        <f>VLOOKUP(L69,Tabella_prezzi!$A$3:$J$58,4,FALSE)</f>
        <v>230</v>
      </c>
      <c r="L69" s="17" t="s">
        <v>102</v>
      </c>
      <c r="M69" s="4" t="str">
        <f>VLOOKUP(L69,Tabella_prezzi!$A$3:$J$58,6,FALSE)</f>
        <v>TS3L1-PSUDVDBZL</v>
      </c>
    </row>
    <row r="71" spans="1:14" x14ac:dyDescent="0.25">
      <c r="A71" s="7" t="s">
        <v>175</v>
      </c>
    </row>
    <row r="72" spans="1:14" x14ac:dyDescent="0.25">
      <c r="A72" s="4" t="s">
        <v>176</v>
      </c>
      <c r="B72" s="8" t="s">
        <v>177</v>
      </c>
      <c r="C72" s="9" t="s">
        <v>178</v>
      </c>
      <c r="D72" s="4" t="s">
        <v>179</v>
      </c>
      <c r="E72" s="10"/>
      <c r="F72" s="4" t="s">
        <v>180</v>
      </c>
      <c r="G72" s="8" t="str">
        <f>""</f>
        <v/>
      </c>
      <c r="H72" s="11"/>
      <c r="I72" s="4" t="str">
        <f>""</f>
        <v/>
      </c>
      <c r="J72" s="5"/>
      <c r="K72" s="5"/>
      <c r="L72" s="4" t="str">
        <f>""</f>
        <v/>
      </c>
      <c r="M72" s="4" t="str">
        <f>""</f>
        <v/>
      </c>
    </row>
    <row r="73" spans="1:14" x14ac:dyDescent="0.25">
      <c r="A73" s="4" t="s">
        <v>181</v>
      </c>
      <c r="B73" s="8" t="s">
        <v>177</v>
      </c>
      <c r="C73" s="9" t="s">
        <v>178</v>
      </c>
      <c r="D73" s="5" t="str">
        <f>VLOOKUP(L73,Tabella_prezzi!$A$3:$J$58,8,FALSE)</f>
        <v>Estensione della manutenzione in garanzia per ulteriori 24 mesi</v>
      </c>
      <c r="E73" s="10"/>
      <c r="F73" s="4" t="s">
        <v>180</v>
      </c>
      <c r="G73" s="8">
        <v>1</v>
      </c>
      <c r="H73" s="5" t="str">
        <f>VLOOKUP(L73,Tabella_prezzi!$A$3:$J$58,9,FALSE)</f>
        <v>L1N17-OpzEstensione24</v>
      </c>
      <c r="I73" s="5" t="str">
        <f>VLOOKUP(L73,Tabella_prezzi!$A$3:$J$58,3,FALSE)</f>
        <v>OpzEstensione24</v>
      </c>
      <c r="J73" s="5">
        <f>VLOOKUP(L73,Tabella_prezzi!$A$3:$J$58,4,FALSE)</f>
        <v>79</v>
      </c>
      <c r="K73" s="4"/>
      <c r="L73" s="4" t="s">
        <v>183</v>
      </c>
      <c r="M73" s="4" t="str">
        <f>VLOOKUP(L73,Tabella_prezzi!$A$3:$J$58,6,FALSE)</f>
        <v>TS3L1-5Y</v>
      </c>
    </row>
    <row r="75" spans="1:14" x14ac:dyDescent="0.25">
      <c r="A75" s="7" t="s">
        <v>185</v>
      </c>
    </row>
    <row r="76" spans="1:14" x14ac:dyDescent="0.25">
      <c r="A76" s="21" t="str">
        <f>""</f>
        <v/>
      </c>
      <c r="B76" s="8" t="s">
        <v>186</v>
      </c>
      <c r="C76" s="9"/>
      <c r="D76" s="4"/>
      <c r="E76" s="10"/>
      <c r="F76" s="4"/>
      <c r="G76" s="8" t="str">
        <f>""</f>
        <v/>
      </c>
      <c r="H76" s="11"/>
      <c r="I76" s="4" t="str">
        <f>""</f>
        <v/>
      </c>
      <c r="J76" s="4"/>
      <c r="K76" s="4"/>
      <c r="L76" s="4" t="str">
        <f>""</f>
        <v/>
      </c>
      <c r="M76" s="4" t="str">
        <f>""</f>
        <v/>
      </c>
    </row>
    <row r="77" spans="1:14" x14ac:dyDescent="0.25">
      <c r="A77" s="21" t="s">
        <v>192</v>
      </c>
      <c r="B77" s="8" t="s">
        <v>186</v>
      </c>
      <c r="C77" s="9" t="s">
        <v>187</v>
      </c>
      <c r="D77" s="5" t="str">
        <f>VLOOKUP(L77,Tabella_prezzi!$A$3:$J$58,8,FALSE)</f>
        <v>Hard Disk Retention 36 mesi</v>
      </c>
      <c r="E77" s="10"/>
      <c r="F77" s="4" t="s">
        <v>188</v>
      </c>
      <c r="G77" s="8">
        <v>1</v>
      </c>
      <c r="H77" s="5" t="str">
        <f>VLOOKUP(L77,Tabella_prezzi!$A$3:$J$58,9,FALSE)</f>
        <v>L1N16-OpzHDDRetention</v>
      </c>
      <c r="I77" s="5" t="str">
        <f>VLOOKUP(L77,Tabella_prezzi!$A$3:$J$58,3,FALSE)</f>
        <v>OpzHDDRetention</v>
      </c>
      <c r="J77" s="5">
        <f>VLOOKUP(L77,Tabella_prezzi!$A$3:$J$58,4,FALSE)</f>
        <v>38</v>
      </c>
      <c r="K77" s="5"/>
      <c r="L77" s="5" t="s">
        <v>190</v>
      </c>
      <c r="M77" s="4" t="str">
        <f>VLOOKUP(L77,Tabella_prezzi!$A$3:$J$58,6,FALSE)</f>
        <v>TS3L1-HDRTNTN</v>
      </c>
      <c r="N77">
        <f>LEN(M77)</f>
        <v>13</v>
      </c>
    </row>
    <row r="78" spans="1:14" x14ac:dyDescent="0.25">
      <c r="A78" s="22" t="s">
        <v>387</v>
      </c>
      <c r="B78" s="23" t="s">
        <v>186</v>
      </c>
      <c r="C78" s="24"/>
      <c r="D78" s="5" t="str">
        <f>VLOOKUP(L78,Tabella_prezzi!$A$3:$J$58,8,FALSE)</f>
        <v>Hard Disk Retention 60 mesi</v>
      </c>
      <c r="E78" s="25"/>
      <c r="F78" s="23"/>
      <c r="G78" s="23">
        <v>1</v>
      </c>
      <c r="H78" s="5" t="str">
        <f>VLOOKUP(L78,Tabella_prezzi!$A$3:$J$58,9,FALSE)</f>
        <v>L1N19-OpzHDDRetention60</v>
      </c>
      <c r="I78" s="5" t="str">
        <f>VLOOKUP(L78,Tabella_prezzi!$A$3:$J$58,3,FALSE)</f>
        <v>OpzHDDRetention60</v>
      </c>
      <c r="J78" s="5">
        <f>VLOOKUP(L78,Tabella_prezzi!$A$3:$J$58,4,FALSE)</f>
        <v>63</v>
      </c>
      <c r="K78" s="23"/>
      <c r="L78" s="23" t="s">
        <v>115</v>
      </c>
      <c r="M78" s="4" t="str">
        <f>VLOOKUP(L78,Tabella_prezzi!$A$3:$J$58,6,FALSE)</f>
        <v>TS3L1-HDRTNTN60</v>
      </c>
    </row>
    <row r="80" spans="1:14" x14ac:dyDescent="0.25">
      <c r="A80" s="7" t="s">
        <v>208</v>
      </c>
    </row>
    <row r="81" spans="1:13" x14ac:dyDescent="0.25">
      <c r="A81" s="4" t="str">
        <f>""</f>
        <v/>
      </c>
      <c r="B81" s="8"/>
      <c r="C81" s="9"/>
      <c r="D81" s="4"/>
      <c r="E81" s="10"/>
      <c r="F81" s="4"/>
      <c r="G81" s="8" t="str">
        <f>""</f>
        <v/>
      </c>
      <c r="H81" s="11"/>
      <c r="I81" s="4" t="str">
        <f>""</f>
        <v/>
      </c>
      <c r="J81" s="4"/>
      <c r="K81" s="4"/>
      <c r="L81" s="4" t="str">
        <f>""</f>
        <v/>
      </c>
      <c r="M81" s="4" t="str">
        <f>""</f>
        <v/>
      </c>
    </row>
    <row r="82" spans="1:13" x14ac:dyDescent="0.25">
      <c r="A82" s="21" t="s">
        <v>212</v>
      </c>
      <c r="B82" s="8"/>
      <c r="C82" s="9"/>
      <c r="D82" s="5" t="str">
        <f>VLOOKUP(L82,Tabella_prezzi!$A$3:$J$58,8,FALSE)</f>
        <v>Powerme Online UPS RPMM/9 3K, Tower, SNMP card</v>
      </c>
      <c r="E82" s="10"/>
      <c r="F82" s="4"/>
      <c r="G82" s="8">
        <v>1</v>
      </c>
      <c r="H82" s="5" t="str">
        <f>VLOOKUP(L82,Tabella_prezzi!$A$3:$J$58,9,FALSE)</f>
        <v>L1N10-OpzUps</v>
      </c>
      <c r="I82" s="5" t="str">
        <f>VLOOKUP(L82,Tabella_prezzi!$A$3:$J$58,3,FALSE)</f>
        <v>OpzUps (3000VA)</v>
      </c>
      <c r="J82" s="5">
        <f>VLOOKUP(L82,Tabella_prezzi!$A$3:$J$58,4,FALSE)</f>
        <v>302</v>
      </c>
      <c r="K82" s="5"/>
      <c r="L82" s="5" t="s">
        <v>210</v>
      </c>
      <c r="M82" s="4" t="str">
        <f>VLOOKUP(L82,Tabella_prezzi!$A$3:$J$58,6,FALSE)</f>
        <v>TS3L1-UPS</v>
      </c>
    </row>
    <row r="84" spans="1:13" x14ac:dyDescent="0.25">
      <c r="A84" s="7" t="s">
        <v>213</v>
      </c>
    </row>
    <row r="85" spans="1:13" x14ac:dyDescent="0.25">
      <c r="A85" s="4" t="str">
        <f>""</f>
        <v/>
      </c>
      <c r="B85" s="8"/>
      <c r="C85" s="9"/>
      <c r="D85" s="4"/>
      <c r="E85" s="10"/>
      <c r="F85" s="4"/>
      <c r="G85" s="8" t="str">
        <f>""</f>
        <v/>
      </c>
      <c r="H85" s="11"/>
      <c r="I85" s="4" t="str">
        <f>""</f>
        <v/>
      </c>
      <c r="J85" s="4"/>
      <c r="K85" s="4"/>
      <c r="L85" s="4" t="str">
        <f>""</f>
        <v/>
      </c>
      <c r="M85" s="4" t="str">
        <f>""</f>
        <v/>
      </c>
    </row>
    <row r="86" spans="1:13" x14ac:dyDescent="0.25">
      <c r="A86" s="21" t="s">
        <v>214</v>
      </c>
      <c r="B86" s="8"/>
      <c r="C86" s="9"/>
      <c r="D86" s="5" t="str">
        <f>VLOOKUP(L86,Tabella_prezzi!$A$3:$J$58,8,FALSE)</f>
        <v>KIT Monitor 19" E1920H + Mouse MS116 + Tastiera KB216</v>
      </c>
      <c r="E86" s="10"/>
      <c r="F86" s="4"/>
      <c r="G86" s="8">
        <v>1</v>
      </c>
      <c r="H86" s="5" t="str">
        <f>VLOOKUP(L86,Tabella_prezzi!$A$3:$J$58,9,FALSE)</f>
        <v>L1N11-OpzGUI</v>
      </c>
      <c r="I86" s="5" t="str">
        <f>VLOOKUP(L86,Tabella_prezzi!$A$3:$J$58,3,FALSE)</f>
        <v>OpzGUI per tower</v>
      </c>
      <c r="J86" s="5">
        <f>VLOOKUP(L86,Tabella_prezzi!$A$3:$J$58,4,FALSE)</f>
        <v>69</v>
      </c>
      <c r="K86" s="5"/>
      <c r="L86" s="5" t="s">
        <v>216</v>
      </c>
      <c r="M86" s="4" t="str">
        <f>VLOOKUP(L86,Tabella_prezzi!$A$3:$J$58,6,FALSE)</f>
        <v>TS3L1-GUI</v>
      </c>
    </row>
    <row r="88" spans="1:13" x14ac:dyDescent="0.25">
      <c r="A88" s="7" t="s">
        <v>344</v>
      </c>
    </row>
    <row r="89" spans="1:13" x14ac:dyDescent="0.25">
      <c r="A89" s="5" t="str">
        <f>D89</f>
        <v>SFP+ SR Optic for all SFP+ ports</v>
      </c>
      <c r="B89" s="8" t="s">
        <v>331</v>
      </c>
      <c r="C89" s="9"/>
      <c r="D89" s="5" t="s">
        <v>332</v>
      </c>
      <c r="E89" s="10"/>
      <c r="F89" s="4"/>
      <c r="G89" s="8">
        <v>1</v>
      </c>
      <c r="H89" s="5">
        <f>VLOOKUP(L89,Tabella_prezzi!$A$3:$J$58,9,FALSE)</f>
        <v>0</v>
      </c>
      <c r="I89" s="5">
        <f>VLOOKUP(L89,Tabella_prezzi!$A$3:$J$58,3,FALSE)</f>
        <v>0</v>
      </c>
      <c r="K89" s="5">
        <f>VLOOKUP(L89,Tabella_prezzi!$A$3:$J$58,4,FALSE)</f>
        <v>0</v>
      </c>
      <c r="L89" s="23" t="s">
        <v>253</v>
      </c>
      <c r="M89" s="4">
        <f>VLOOKUP(L89,Tabella_prezzi!$A$3:$J$58,6,FALSE)</f>
        <v>0</v>
      </c>
    </row>
    <row r="91" spans="1:13" x14ac:dyDescent="0.25">
      <c r="A91" s="7" t="s">
        <v>350</v>
      </c>
    </row>
    <row r="92" spans="1:13" x14ac:dyDescent="0.25">
      <c r="A92" s="5" t="str">
        <f t="shared" ref="A92:A94" si="0">D92</f>
        <v>Dell Networking, Cable, SFP+ to SFP+, 10GbE, Copper Twinax Direct Attach Cable, 1 Meter</v>
      </c>
      <c r="B92" s="8" t="s">
        <v>333</v>
      </c>
      <c r="C92" s="9"/>
      <c r="D92" s="5" t="str">
        <f>VLOOKUP(L92,Tabella_prezzi!$A$3:$J$58,8,FALSE)</f>
        <v>Dell Networking, Cable, SFP+ to SFP+, 10GbE, Copper Twinax Direct Attach Cable, 1 Meter</v>
      </c>
      <c r="E92" s="10"/>
      <c r="F92" s="4"/>
      <c r="G92" s="8">
        <v>1</v>
      </c>
      <c r="H92" s="5">
        <f>VLOOKUP(L92,Tabella_prezzi!$A$3:$J$58,9,FALSE)</f>
        <v>0</v>
      </c>
      <c r="I92" s="5">
        <f>VLOOKUP(L92,Tabella_prezzi!$A$3:$J$58,3,FALSE)</f>
        <v>0</v>
      </c>
      <c r="K92" s="5">
        <f>VLOOKUP(L92,Tabella_prezzi!$A$3:$J$58,4,FALSE)</f>
        <v>0</v>
      </c>
      <c r="L92" s="23" t="s">
        <v>254</v>
      </c>
      <c r="M92" s="4">
        <f>VLOOKUP(L92,Tabella_prezzi!$A$3:$J$58,6,FALSE)</f>
        <v>0</v>
      </c>
    </row>
    <row r="93" spans="1:13" x14ac:dyDescent="0.25">
      <c r="A93" s="5" t="str">
        <f t="shared" si="0"/>
        <v>Dell Networking, Cable, SFP+ to SFP+, 10GbE, Copper Twinax Direct Attach Cable, 3 Meter</v>
      </c>
      <c r="B93" s="8" t="s">
        <v>333</v>
      </c>
      <c r="C93" s="9"/>
      <c r="D93" s="5" t="str">
        <f>VLOOKUP(L93,Tabella_prezzi!$A$3:$J$58,8,FALSE)</f>
        <v>Dell Networking, Cable, SFP+ to SFP+, 10GbE, Copper Twinax Direct Attach Cable, 3 Meter</v>
      </c>
      <c r="E93" s="10"/>
      <c r="F93" s="4"/>
      <c r="G93" s="8">
        <v>1</v>
      </c>
      <c r="H93" s="5">
        <f>VLOOKUP(L93,Tabella_prezzi!$A$3:$J$58,9,FALSE)</f>
        <v>0</v>
      </c>
      <c r="I93" s="5">
        <f>VLOOKUP(L93,Tabella_prezzi!$A$3:$J$58,3,FALSE)</f>
        <v>0</v>
      </c>
      <c r="K93" s="5">
        <f>VLOOKUP(L93,Tabella_prezzi!$A$3:$J$58,4,FALSE)</f>
        <v>0</v>
      </c>
      <c r="L93" s="23" t="s">
        <v>255</v>
      </c>
      <c r="M93" s="4">
        <f>VLOOKUP(L93,Tabella_prezzi!$A$3:$J$58,6,FALSE)</f>
        <v>0</v>
      </c>
    </row>
    <row r="94" spans="1:13" x14ac:dyDescent="0.25">
      <c r="A94" s="5" t="str">
        <f t="shared" si="0"/>
        <v>Dell Networking, Cable, SFP+ to SFP+, 10GbE, Copper Twinax Direct Attach Cable, 5 Meter</v>
      </c>
      <c r="B94" s="8" t="s">
        <v>333</v>
      </c>
      <c r="C94" s="9"/>
      <c r="D94" s="5" t="str">
        <f>VLOOKUP(L94,Tabella_prezzi!$A$3:$J$58,8,FALSE)</f>
        <v>Dell Networking, Cable, SFP+ to SFP+, 10GbE, Copper Twinax Direct Attach Cable, 5 Meter</v>
      </c>
      <c r="E94" s="10"/>
      <c r="F94" s="4"/>
      <c r="G94" s="8">
        <v>1</v>
      </c>
      <c r="H94" s="5">
        <f>VLOOKUP(L94,Tabella_prezzi!$A$3:$J$58,9,FALSE)</f>
        <v>0</v>
      </c>
      <c r="I94" s="5">
        <f>VLOOKUP(L94,Tabella_prezzi!$A$3:$J$58,3,FALSE)</f>
        <v>0</v>
      </c>
      <c r="K94" s="5">
        <f>VLOOKUP(L94,Tabella_prezzi!$A$3:$J$58,4,FALSE)</f>
        <v>0</v>
      </c>
      <c r="L94" s="23" t="s">
        <v>256</v>
      </c>
      <c r="M94" s="4">
        <f>VLOOKUP(L94,Tabella_prezzi!$A$3:$J$58,6,FALSE)</f>
        <v>0</v>
      </c>
    </row>
    <row r="96" spans="1:13" x14ac:dyDescent="0.25">
      <c r="A96" s="7" t="s">
        <v>349</v>
      </c>
    </row>
    <row r="97" spans="1:13" x14ac:dyDescent="0.25">
      <c r="A97" s="5" t="str">
        <f t="shared" ref="A97:A101" si="1">D97</f>
        <v>12Gb HD-Mini to HD-Mini SAS Cable, 2M</v>
      </c>
      <c r="B97" s="8" t="s">
        <v>338</v>
      </c>
      <c r="C97" s="9"/>
      <c r="D97" s="5" t="s">
        <v>339</v>
      </c>
      <c r="E97" s="10"/>
      <c r="F97" s="4"/>
      <c r="G97" s="8">
        <v>1</v>
      </c>
      <c r="H97" s="5">
        <f>VLOOKUP(L97,Tabella_prezzi!$A$3:$J$58,9,FALSE)</f>
        <v>0</v>
      </c>
      <c r="I97" s="5">
        <f>VLOOKUP(L97,Tabella_prezzi!$A$3:$J$58,3,FALSE)</f>
        <v>0</v>
      </c>
      <c r="K97" s="5">
        <f>VLOOKUP(L97,Tabella_prezzi!$A$3:$J$58,4,FALSE)</f>
        <v>0</v>
      </c>
      <c r="L97" s="23" t="s">
        <v>248</v>
      </c>
      <c r="M97" s="4">
        <f>VLOOKUP(L97,Tabella_prezzi!$A$3:$J$58,6,FALSE)</f>
        <v>0</v>
      </c>
    </row>
    <row r="98" spans="1:13" x14ac:dyDescent="0.25">
      <c r="A98" s="5" t="str">
        <f t="shared" si="1"/>
        <v>12Gb HD-Mini to HD-Mini SAS Cable, 6M</v>
      </c>
      <c r="B98" s="8" t="s">
        <v>338</v>
      </c>
      <c r="C98" s="9"/>
      <c r="D98" s="5" t="s">
        <v>340</v>
      </c>
      <c r="E98" s="10"/>
      <c r="F98" s="4"/>
      <c r="G98" s="8">
        <v>1</v>
      </c>
      <c r="H98" s="5">
        <f>VLOOKUP(L98,Tabella_prezzi!$A$3:$J$58,9,FALSE)</f>
        <v>0</v>
      </c>
      <c r="I98" s="5">
        <f>VLOOKUP(L98,Tabella_prezzi!$A$3:$J$58,3,FALSE)</f>
        <v>0</v>
      </c>
      <c r="K98" s="5">
        <f>VLOOKUP(L98,Tabella_prezzi!$A$3:$J$58,4,FALSE)</f>
        <v>0</v>
      </c>
      <c r="L98" s="23" t="s">
        <v>249</v>
      </c>
      <c r="M98" s="4">
        <f>VLOOKUP(L98,Tabella_prezzi!$A$3:$J$58,6,FALSE)</f>
        <v>0</v>
      </c>
    </row>
    <row r="99" spans="1:13" x14ac:dyDescent="0.25">
      <c r="A99" s="5" t="str">
        <f t="shared" si="1"/>
        <v>12Gb HD-Mini SAS cable, 0.5m</v>
      </c>
      <c r="B99" s="8" t="s">
        <v>338</v>
      </c>
      <c r="C99" s="9"/>
      <c r="D99" s="5" t="s">
        <v>341</v>
      </c>
      <c r="E99" s="10"/>
      <c r="F99" s="4"/>
      <c r="G99" s="8">
        <v>1</v>
      </c>
      <c r="H99" s="5">
        <f>VLOOKUP(L99,Tabella_prezzi!$A$3:$J$58,9,FALSE)</f>
        <v>0</v>
      </c>
      <c r="I99" s="5">
        <f>VLOOKUP(L99,Tabella_prezzi!$A$3:$J$58,3,FALSE)</f>
        <v>0</v>
      </c>
      <c r="K99" s="5">
        <f>VLOOKUP(L99,Tabella_prezzi!$A$3:$J$58,4,FALSE)</f>
        <v>0</v>
      </c>
      <c r="L99" s="23" t="s">
        <v>250</v>
      </c>
      <c r="M99" s="4">
        <f>VLOOKUP(L99,Tabella_prezzi!$A$3:$J$58,6,FALSE)</f>
        <v>0</v>
      </c>
    </row>
    <row r="100" spans="1:13" x14ac:dyDescent="0.25">
      <c r="A100" s="5" t="str">
        <f t="shared" si="1"/>
        <v>12Gb HD-Mini SAS cable, 2m</v>
      </c>
      <c r="B100" s="8" t="s">
        <v>338</v>
      </c>
      <c r="C100" s="9"/>
      <c r="D100" s="5" t="s">
        <v>342</v>
      </c>
      <c r="E100" s="10"/>
      <c r="F100" s="4"/>
      <c r="G100" s="8">
        <v>1</v>
      </c>
      <c r="H100" s="5">
        <f>VLOOKUP(L100,Tabella_prezzi!$A$3:$J$58,9,FALSE)</f>
        <v>0</v>
      </c>
      <c r="I100" s="5">
        <f>VLOOKUP(L100,Tabella_prezzi!$A$3:$J$58,3,FALSE)</f>
        <v>0</v>
      </c>
      <c r="K100" s="5">
        <f>VLOOKUP(L100,Tabella_prezzi!$A$3:$J$58,4,FALSE)</f>
        <v>0</v>
      </c>
      <c r="L100" s="23" t="s">
        <v>251</v>
      </c>
      <c r="M100" s="4">
        <f>VLOOKUP(L100,Tabella_prezzi!$A$3:$J$58,6,FALSE)</f>
        <v>0</v>
      </c>
    </row>
    <row r="101" spans="1:13" x14ac:dyDescent="0.25">
      <c r="A101" s="5" t="str">
        <f t="shared" si="1"/>
        <v>12Gb Mini-SAS HD to Mini-SAS HD Cable, 4m</v>
      </c>
      <c r="B101" s="8" t="s">
        <v>338</v>
      </c>
      <c r="C101" s="9"/>
      <c r="D101" s="5" t="s">
        <v>343</v>
      </c>
      <c r="E101" s="10"/>
      <c r="F101" s="4"/>
      <c r="G101" s="8">
        <v>1</v>
      </c>
      <c r="H101" s="5">
        <f>VLOOKUP(L101,Tabella_prezzi!$A$3:$J$58,9,FALSE)</f>
        <v>0</v>
      </c>
      <c r="I101" s="5">
        <f>VLOOKUP(L101,Tabella_prezzi!$A$3:$J$58,3,FALSE)</f>
        <v>0</v>
      </c>
      <c r="K101" s="5">
        <f>VLOOKUP(L101,Tabella_prezzi!$A$3:$J$58,4,FALSE)</f>
        <v>0</v>
      </c>
      <c r="L101" s="23" t="s">
        <v>252</v>
      </c>
      <c r="M101" s="4">
        <f>VLOOKUP(L101,Tabella_prezzi!$A$3:$J$58,6,FALSE)</f>
        <v>0</v>
      </c>
    </row>
    <row r="108" spans="1:13" x14ac:dyDescent="0.25">
      <c r="A108" s="142"/>
      <c r="B108" s="142"/>
      <c r="C108" s="142"/>
    </row>
    <row r="109" spans="1:13" ht="278.25" customHeight="1" x14ac:dyDescent="0.25">
      <c r="A109" s="142" t="s">
        <v>313</v>
      </c>
      <c r="B109" s="142"/>
      <c r="C109" s="142"/>
    </row>
    <row r="110" spans="1:13" ht="278.25" customHeight="1" x14ac:dyDescent="0.25">
      <c r="A110" s="142" t="s">
        <v>314</v>
      </c>
      <c r="B110" s="142"/>
      <c r="C110" s="142"/>
    </row>
    <row r="111" spans="1:13" x14ac:dyDescent="0.25">
      <c r="A111" s="142"/>
      <c r="B111" s="142"/>
      <c r="C111" s="142"/>
    </row>
  </sheetData>
  <conditionalFormatting sqref="A58">
    <cfRule type="expression" dxfId="8" priority="1">
      <formula>$J58&gt;0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1:M99"/>
  <sheetViews>
    <sheetView topLeftCell="A37" workbookViewId="0">
      <selection activeCell="E74" sqref="E74"/>
    </sheetView>
  </sheetViews>
  <sheetFormatPr defaultRowHeight="15" x14ac:dyDescent="0.25"/>
  <cols>
    <col min="1" max="1" width="6.7109375" bestFit="1" customWidth="1"/>
    <col min="2" max="2" width="3.85546875" bestFit="1" customWidth="1"/>
    <col min="3" max="3" width="34.28515625" bestFit="1" customWidth="1"/>
    <col min="4" max="4" width="16.5703125" bestFit="1" customWidth="1"/>
    <col min="5" max="5" width="6.7109375" bestFit="1" customWidth="1"/>
    <col min="6" max="6" width="22.7109375" bestFit="1" customWidth="1"/>
    <col min="7" max="7" width="5.7109375" bestFit="1" customWidth="1"/>
    <col min="8" max="8" width="90.5703125" bestFit="1" customWidth="1"/>
    <col min="9" max="9" width="24.5703125" bestFit="1" customWidth="1"/>
    <col min="10" max="10" width="10.140625" bestFit="1" customWidth="1"/>
    <col min="11" max="11" width="9.42578125" bestFit="1" customWidth="1"/>
    <col min="13" max="13" width="11.140625" bestFit="1" customWidth="1"/>
  </cols>
  <sheetData>
    <row r="1" spans="1:13" ht="15.75" thickBot="1" x14ac:dyDescent="0.3"/>
    <row r="2" spans="1:13" ht="15.75" thickBot="1" x14ac:dyDescent="0.3">
      <c r="A2" s="29" t="s">
        <v>26</v>
      </c>
      <c r="B2" s="29"/>
      <c r="C2" s="29" t="s">
        <v>24</v>
      </c>
      <c r="D2" s="29" t="s">
        <v>25</v>
      </c>
      <c r="E2" s="29" t="s">
        <v>26</v>
      </c>
      <c r="F2" s="29" t="s">
        <v>27</v>
      </c>
      <c r="G2" s="29" t="s">
        <v>222</v>
      </c>
      <c r="H2" s="29" t="s">
        <v>223</v>
      </c>
      <c r="I2" s="29" t="s">
        <v>224</v>
      </c>
      <c r="J2" s="29" t="s">
        <v>225</v>
      </c>
    </row>
    <row r="3" spans="1:13" ht="15.75" thickBot="1" x14ac:dyDescent="0.3">
      <c r="A3" s="31" t="s">
        <v>29</v>
      </c>
      <c r="B3" s="30">
        <v>1</v>
      </c>
      <c r="C3" s="31" t="s">
        <v>28</v>
      </c>
      <c r="D3" s="32">
        <v>1399</v>
      </c>
      <c r="E3" s="31" t="s">
        <v>29</v>
      </c>
      <c r="F3" s="32" t="s">
        <v>30</v>
      </c>
      <c r="G3" s="33">
        <v>1</v>
      </c>
      <c r="H3" s="32" t="s">
        <v>353</v>
      </c>
      <c r="I3" s="161" t="s">
        <v>379</v>
      </c>
      <c r="J3" s="32" t="s">
        <v>226</v>
      </c>
      <c r="K3" s="164">
        <f>D3/100*20</f>
        <v>279.8</v>
      </c>
    </row>
    <row r="4" spans="1:13" ht="15.75" thickBot="1" x14ac:dyDescent="0.3">
      <c r="A4" s="35" t="s">
        <v>38</v>
      </c>
      <c r="B4" s="34">
        <v>2</v>
      </c>
      <c r="C4" s="35" t="s">
        <v>37</v>
      </c>
      <c r="D4" s="36">
        <v>98</v>
      </c>
      <c r="E4" s="35" t="s">
        <v>38</v>
      </c>
      <c r="F4" s="36" t="s">
        <v>39</v>
      </c>
      <c r="G4" s="37">
        <v>1</v>
      </c>
      <c r="H4" s="36" t="s">
        <v>354</v>
      </c>
      <c r="I4" s="35" t="s">
        <v>365</v>
      </c>
      <c r="J4" s="36" t="s">
        <v>226</v>
      </c>
      <c r="M4" s="35" t="s">
        <v>35</v>
      </c>
    </row>
    <row r="5" spans="1:13" ht="15.75" thickBot="1" x14ac:dyDescent="0.3">
      <c r="A5" s="31" t="s">
        <v>110</v>
      </c>
      <c r="B5" s="30">
        <v>3</v>
      </c>
      <c r="C5" s="31" t="s">
        <v>109</v>
      </c>
      <c r="D5" s="32">
        <v>25</v>
      </c>
      <c r="E5" s="31" t="s">
        <v>110</v>
      </c>
      <c r="F5" s="32" t="s">
        <v>111</v>
      </c>
      <c r="G5" s="33">
        <v>1</v>
      </c>
      <c r="H5" s="32" t="s">
        <v>355</v>
      </c>
      <c r="I5" s="161" t="s">
        <v>366</v>
      </c>
      <c r="J5" s="32" t="s">
        <v>226</v>
      </c>
      <c r="M5" s="161" t="s">
        <v>108</v>
      </c>
    </row>
    <row r="6" spans="1:13" ht="15.75" thickBot="1" x14ac:dyDescent="0.3">
      <c r="A6" s="35" t="s">
        <v>63</v>
      </c>
      <c r="B6" s="34">
        <v>4</v>
      </c>
      <c r="C6" s="35" t="s">
        <v>62</v>
      </c>
      <c r="D6" s="36">
        <v>285</v>
      </c>
      <c r="E6" s="35" t="s">
        <v>63</v>
      </c>
      <c r="F6" s="36" t="s">
        <v>64</v>
      </c>
      <c r="G6" s="37">
        <v>1</v>
      </c>
      <c r="H6" s="36" t="s">
        <v>356</v>
      </c>
      <c r="I6" s="35" t="s">
        <v>367</v>
      </c>
      <c r="J6" s="36" t="s">
        <v>226</v>
      </c>
      <c r="M6" s="35" t="s">
        <v>61</v>
      </c>
    </row>
    <row r="7" spans="1:13" ht="15.75" thickBot="1" x14ac:dyDescent="0.3">
      <c r="A7" s="31" t="s">
        <v>69</v>
      </c>
      <c r="B7" s="30">
        <v>5</v>
      </c>
      <c r="C7" s="31" t="s">
        <v>68</v>
      </c>
      <c r="D7" s="32">
        <v>194</v>
      </c>
      <c r="E7" s="31" t="s">
        <v>69</v>
      </c>
      <c r="F7" s="32" t="s">
        <v>70</v>
      </c>
      <c r="G7" s="33">
        <v>1</v>
      </c>
      <c r="H7" s="32" t="s">
        <v>357</v>
      </c>
      <c r="I7" s="161" t="s">
        <v>368</v>
      </c>
      <c r="J7" s="32" t="s">
        <v>226</v>
      </c>
      <c r="M7" s="161" t="s">
        <v>67</v>
      </c>
    </row>
    <row r="8" spans="1:13" ht="15.75" thickBot="1" x14ac:dyDescent="0.3">
      <c r="A8" s="35" t="s">
        <v>75</v>
      </c>
      <c r="B8" s="34">
        <v>6</v>
      </c>
      <c r="C8" s="35" t="s">
        <v>74</v>
      </c>
      <c r="D8" s="36">
        <v>148</v>
      </c>
      <c r="E8" s="35" t="s">
        <v>75</v>
      </c>
      <c r="F8" s="36" t="s">
        <v>76</v>
      </c>
      <c r="G8" s="37">
        <v>1</v>
      </c>
      <c r="H8" s="36" t="s">
        <v>358</v>
      </c>
      <c r="I8" s="35" t="s">
        <v>369</v>
      </c>
      <c r="J8" s="36" t="s">
        <v>226</v>
      </c>
      <c r="M8" s="35" t="s">
        <v>73</v>
      </c>
    </row>
    <row r="9" spans="1:13" ht="15.75" thickBot="1" x14ac:dyDescent="0.3">
      <c r="A9" s="31" t="s">
        <v>82</v>
      </c>
      <c r="B9" s="30">
        <v>7</v>
      </c>
      <c r="C9" s="31" t="s">
        <v>81</v>
      </c>
      <c r="D9" s="32">
        <v>80</v>
      </c>
      <c r="E9" s="31" t="s">
        <v>82</v>
      </c>
      <c r="F9" s="32" t="s">
        <v>83</v>
      </c>
      <c r="G9" s="33">
        <v>1</v>
      </c>
      <c r="H9" s="32" t="s">
        <v>359</v>
      </c>
      <c r="I9" s="161" t="s">
        <v>370</v>
      </c>
      <c r="J9" s="32" t="s">
        <v>226</v>
      </c>
      <c r="M9" s="161" t="s">
        <v>80</v>
      </c>
    </row>
    <row r="10" spans="1:13" ht="15.75" thickBot="1" x14ac:dyDescent="0.3">
      <c r="A10" s="35" t="s">
        <v>87</v>
      </c>
      <c r="B10" s="34">
        <v>8</v>
      </c>
      <c r="C10" s="35" t="s">
        <v>86</v>
      </c>
      <c r="D10" s="36">
        <v>216</v>
      </c>
      <c r="E10" s="35" t="s">
        <v>87</v>
      </c>
      <c r="F10" s="36" t="s">
        <v>351</v>
      </c>
      <c r="G10" s="37">
        <v>1</v>
      </c>
      <c r="H10" s="36" t="s">
        <v>360</v>
      </c>
      <c r="I10" s="35" t="s">
        <v>371</v>
      </c>
      <c r="J10" s="36" t="s">
        <v>226</v>
      </c>
      <c r="M10" s="35" t="s">
        <v>227</v>
      </c>
    </row>
    <row r="11" spans="1:13" ht="15.75" thickBot="1" x14ac:dyDescent="0.3">
      <c r="A11" s="31" t="s">
        <v>93</v>
      </c>
      <c r="B11" s="30">
        <v>9</v>
      </c>
      <c r="C11" s="31" t="s">
        <v>92</v>
      </c>
      <c r="D11" s="32">
        <v>160</v>
      </c>
      <c r="E11" s="31" t="s">
        <v>93</v>
      </c>
      <c r="F11" s="32" t="s">
        <v>352</v>
      </c>
      <c r="G11" s="33">
        <v>1</v>
      </c>
      <c r="H11" s="32" t="s">
        <v>361</v>
      </c>
      <c r="I11" s="161" t="s">
        <v>372</v>
      </c>
      <c r="J11" s="32" t="s">
        <v>226</v>
      </c>
      <c r="M11" s="161" t="s">
        <v>91</v>
      </c>
    </row>
    <row r="12" spans="1:13" ht="15.75" thickBot="1" x14ac:dyDescent="0.3">
      <c r="A12" s="35" t="s">
        <v>210</v>
      </c>
      <c r="B12" s="34">
        <v>10</v>
      </c>
      <c r="C12" s="35" t="s">
        <v>209</v>
      </c>
      <c r="D12" s="36">
        <v>302</v>
      </c>
      <c r="E12" s="35" t="s">
        <v>210</v>
      </c>
      <c r="F12" s="36" t="s">
        <v>211</v>
      </c>
      <c r="G12" s="37">
        <v>1</v>
      </c>
      <c r="H12" s="36" t="s">
        <v>317</v>
      </c>
      <c r="I12" s="35" t="s">
        <v>373</v>
      </c>
      <c r="J12" s="36" t="s">
        <v>229</v>
      </c>
      <c r="M12" s="35" t="s">
        <v>228</v>
      </c>
    </row>
    <row r="13" spans="1:13" ht="15.75" thickBot="1" x14ac:dyDescent="0.3">
      <c r="A13" s="209" t="s">
        <v>216</v>
      </c>
      <c r="B13" s="210">
        <v>11</v>
      </c>
      <c r="C13" s="209" t="s">
        <v>215</v>
      </c>
      <c r="D13" s="211">
        <v>69</v>
      </c>
      <c r="E13" s="209" t="s">
        <v>216</v>
      </c>
      <c r="F13" s="208" t="s">
        <v>217</v>
      </c>
      <c r="G13" s="212">
        <v>1</v>
      </c>
      <c r="H13" s="208" t="s">
        <v>362</v>
      </c>
      <c r="I13" s="208" t="s">
        <v>378</v>
      </c>
      <c r="J13" s="208" t="s">
        <v>226</v>
      </c>
      <c r="M13" s="161" t="s">
        <v>230</v>
      </c>
    </row>
    <row r="14" spans="1:13" ht="15.75" thickBot="1" x14ac:dyDescent="0.3">
      <c r="A14" s="209"/>
      <c r="B14" s="210"/>
      <c r="C14" s="209"/>
      <c r="D14" s="211"/>
      <c r="E14" s="209"/>
      <c r="F14" s="208"/>
      <c r="G14" s="212">
        <v>1</v>
      </c>
      <c r="H14" s="208" t="s">
        <v>231</v>
      </c>
      <c r="I14" s="208" t="s">
        <v>232</v>
      </c>
      <c r="J14" s="208"/>
      <c r="M14" s="161" t="s">
        <v>232</v>
      </c>
    </row>
    <row r="15" spans="1:13" ht="15.75" thickBot="1" x14ac:dyDescent="0.3">
      <c r="A15" s="209"/>
      <c r="B15" s="210"/>
      <c r="C15" s="209"/>
      <c r="D15" s="211"/>
      <c r="E15" s="209"/>
      <c r="F15" s="208"/>
      <c r="G15" s="212">
        <v>1</v>
      </c>
      <c r="H15" s="208" t="s">
        <v>233</v>
      </c>
      <c r="I15" s="208" t="s">
        <v>234</v>
      </c>
      <c r="J15" s="208"/>
      <c r="M15" s="161" t="s">
        <v>234</v>
      </c>
    </row>
    <row r="16" spans="1:13" ht="15.75" thickBot="1" x14ac:dyDescent="0.3">
      <c r="A16" s="209"/>
      <c r="B16" s="210"/>
      <c r="C16" s="209"/>
      <c r="D16" s="211"/>
      <c r="E16" s="209"/>
      <c r="F16" s="208"/>
      <c r="G16" s="212">
        <v>1</v>
      </c>
      <c r="H16" s="208" t="s">
        <v>235</v>
      </c>
      <c r="I16" s="208" t="s">
        <v>236</v>
      </c>
      <c r="J16" s="208"/>
      <c r="M16" s="161" t="s">
        <v>236</v>
      </c>
    </row>
    <row r="17" spans="1:13" ht="15.75" thickBot="1" x14ac:dyDescent="0.3">
      <c r="A17" s="209"/>
      <c r="B17" s="210"/>
      <c r="C17" s="209"/>
      <c r="D17" s="211"/>
      <c r="E17" s="209"/>
      <c r="F17" s="208"/>
      <c r="G17" s="212">
        <v>1</v>
      </c>
      <c r="H17" s="208" t="s">
        <v>237</v>
      </c>
      <c r="I17" s="208" t="s">
        <v>238</v>
      </c>
      <c r="J17" s="208"/>
      <c r="M17" s="161" t="s">
        <v>238</v>
      </c>
    </row>
    <row r="18" spans="1:13" ht="15.75" thickBot="1" x14ac:dyDescent="0.3">
      <c r="A18" s="209"/>
      <c r="B18" s="210"/>
      <c r="C18" s="209"/>
      <c r="D18" s="211"/>
      <c r="E18" s="209"/>
      <c r="F18" s="208"/>
      <c r="G18" s="212">
        <v>1</v>
      </c>
      <c r="H18" s="208" t="s">
        <v>239</v>
      </c>
      <c r="I18" s="208" t="s">
        <v>240</v>
      </c>
      <c r="J18" s="208"/>
      <c r="M18" s="161" t="s">
        <v>240</v>
      </c>
    </row>
    <row r="19" spans="1:13" ht="15.75" thickBot="1" x14ac:dyDescent="0.3">
      <c r="A19" s="209"/>
      <c r="B19" s="210"/>
      <c r="C19" s="209"/>
      <c r="D19" s="211"/>
      <c r="E19" s="209"/>
      <c r="F19" s="208"/>
      <c r="G19" s="212">
        <v>1</v>
      </c>
      <c r="H19" s="208" t="s">
        <v>241</v>
      </c>
      <c r="I19" s="208" t="s">
        <v>242</v>
      </c>
      <c r="J19" s="208"/>
      <c r="M19" s="161" t="s">
        <v>242</v>
      </c>
    </row>
    <row r="20" spans="1:13" ht="15.75" thickBot="1" x14ac:dyDescent="0.3">
      <c r="A20" s="35" t="s">
        <v>49</v>
      </c>
      <c r="B20" s="34">
        <v>12</v>
      </c>
      <c r="C20" s="35" t="s">
        <v>48</v>
      </c>
      <c r="D20" s="36">
        <v>256</v>
      </c>
      <c r="E20" s="35" t="s">
        <v>49</v>
      </c>
      <c r="F20" s="36" t="s">
        <v>50</v>
      </c>
      <c r="G20" s="37">
        <v>1</v>
      </c>
      <c r="H20" s="36" t="s">
        <v>318</v>
      </c>
      <c r="I20" s="35" t="s">
        <v>374</v>
      </c>
      <c r="J20" s="36" t="s">
        <v>226</v>
      </c>
      <c r="M20" s="35" t="s">
        <v>47</v>
      </c>
    </row>
    <row r="21" spans="1:13" ht="15.75" thickBot="1" x14ac:dyDescent="0.3">
      <c r="A21" s="31" t="s">
        <v>243</v>
      </c>
      <c r="B21" s="30">
        <v>13</v>
      </c>
      <c r="C21" s="31"/>
      <c r="D21" s="32"/>
      <c r="E21" s="31" t="s">
        <v>243</v>
      </c>
      <c r="F21" s="32"/>
      <c r="G21" s="33"/>
      <c r="H21" s="32"/>
      <c r="I21" s="31"/>
      <c r="J21" s="32"/>
      <c r="M21" s="161"/>
    </row>
    <row r="22" spans="1:13" ht="15.75" thickBot="1" x14ac:dyDescent="0.3">
      <c r="A22" s="35" t="s">
        <v>244</v>
      </c>
      <c r="B22" s="34">
        <v>14</v>
      </c>
      <c r="C22" s="35"/>
      <c r="D22" s="36"/>
      <c r="E22" s="35" t="s">
        <v>244</v>
      </c>
      <c r="F22" s="36"/>
      <c r="G22" s="37"/>
      <c r="H22" s="36"/>
      <c r="I22" s="35"/>
      <c r="J22" s="36"/>
      <c r="M22" s="35"/>
    </row>
    <row r="23" spans="1:13" ht="15.75" thickBot="1" x14ac:dyDescent="0.3">
      <c r="A23" s="31" t="s">
        <v>54</v>
      </c>
      <c r="B23" s="30">
        <v>15</v>
      </c>
      <c r="C23" s="31" t="s">
        <v>53</v>
      </c>
      <c r="D23" s="32">
        <v>49</v>
      </c>
      <c r="E23" s="31" t="s">
        <v>54</v>
      </c>
      <c r="F23" s="32" t="s">
        <v>55</v>
      </c>
      <c r="G23" s="33">
        <v>1</v>
      </c>
      <c r="H23" s="32" t="s">
        <v>52</v>
      </c>
      <c r="I23" s="31" t="s">
        <v>375</v>
      </c>
      <c r="J23" s="32"/>
      <c r="M23" s="161"/>
    </row>
    <row r="24" spans="1:13" ht="15.75" thickBot="1" x14ac:dyDescent="0.3">
      <c r="A24" s="35" t="s">
        <v>190</v>
      </c>
      <c r="B24" s="34">
        <v>16</v>
      </c>
      <c r="C24" s="35" t="s">
        <v>189</v>
      </c>
      <c r="D24" s="36">
        <v>38</v>
      </c>
      <c r="E24" s="35" t="s">
        <v>190</v>
      </c>
      <c r="F24" s="36" t="s">
        <v>191</v>
      </c>
      <c r="G24" s="37">
        <v>1</v>
      </c>
      <c r="H24" s="36" t="s">
        <v>385</v>
      </c>
      <c r="I24" s="35" t="s">
        <v>376</v>
      </c>
      <c r="J24" s="36" t="s">
        <v>226</v>
      </c>
      <c r="M24" s="35" t="s">
        <v>245</v>
      </c>
    </row>
    <row r="25" spans="1:13" ht="15.75" thickBot="1" x14ac:dyDescent="0.3">
      <c r="A25" s="31" t="s">
        <v>183</v>
      </c>
      <c r="B25" s="30">
        <v>17</v>
      </c>
      <c r="C25" s="31" t="s">
        <v>182</v>
      </c>
      <c r="D25" s="32">
        <v>79</v>
      </c>
      <c r="E25" s="31" t="s">
        <v>183</v>
      </c>
      <c r="F25" s="32" t="s">
        <v>184</v>
      </c>
      <c r="G25" s="33">
        <v>1</v>
      </c>
      <c r="H25" s="32" t="s">
        <v>319</v>
      </c>
      <c r="I25" s="31" t="s">
        <v>377</v>
      </c>
      <c r="J25" s="32" t="s">
        <v>226</v>
      </c>
      <c r="M25" s="161" t="s">
        <v>246</v>
      </c>
    </row>
    <row r="26" spans="1:13" ht="26.25" thickBot="1" x14ac:dyDescent="0.35">
      <c r="A26" s="150" t="s">
        <v>102</v>
      </c>
      <c r="B26" s="152">
        <v>18</v>
      </c>
      <c r="C26" s="150"/>
      <c r="D26" s="153">
        <v>230</v>
      </c>
      <c r="E26" s="150" t="s">
        <v>102</v>
      </c>
      <c r="F26" s="149" t="s">
        <v>393</v>
      </c>
      <c r="G26" s="154">
        <v>1</v>
      </c>
      <c r="H26" s="149" t="s">
        <v>394</v>
      </c>
      <c r="I26" s="169" t="s">
        <v>395</v>
      </c>
      <c r="J26" s="149" t="s">
        <v>226</v>
      </c>
      <c r="M26" s="150" t="s">
        <v>101</v>
      </c>
    </row>
    <row r="27" spans="1:13" ht="26.25" thickBot="1" x14ac:dyDescent="0.3">
      <c r="A27" s="43" t="s">
        <v>115</v>
      </c>
      <c r="B27" s="42">
        <v>19</v>
      </c>
      <c r="C27" s="35" t="s">
        <v>383</v>
      </c>
      <c r="D27" s="36">
        <v>63</v>
      </c>
      <c r="E27" s="43" t="s">
        <v>115</v>
      </c>
      <c r="F27" s="36" t="s">
        <v>384</v>
      </c>
      <c r="G27" s="37">
        <v>1</v>
      </c>
      <c r="H27" s="36" t="s">
        <v>386</v>
      </c>
      <c r="I27" s="35" t="s">
        <v>388</v>
      </c>
      <c r="J27" s="36" t="s">
        <v>226</v>
      </c>
      <c r="M27" s="43"/>
    </row>
    <row r="28" spans="1:13" ht="15.75" thickBot="1" x14ac:dyDescent="0.3">
      <c r="A28" s="39" t="s">
        <v>120</v>
      </c>
      <c r="B28" s="38">
        <v>20</v>
      </c>
      <c r="C28" s="39"/>
      <c r="D28" s="40"/>
      <c r="E28" s="39" t="s">
        <v>120</v>
      </c>
      <c r="F28" s="40"/>
      <c r="G28" s="41"/>
      <c r="H28" s="40"/>
      <c r="I28" s="39"/>
      <c r="J28" s="40"/>
      <c r="M28" s="39"/>
    </row>
    <row r="29" spans="1:13" ht="15.75" thickBot="1" x14ac:dyDescent="0.3">
      <c r="A29" s="43" t="s">
        <v>125</v>
      </c>
      <c r="B29" s="42">
        <v>21</v>
      </c>
      <c r="C29" s="43"/>
      <c r="D29" s="44"/>
      <c r="E29" s="43" t="s">
        <v>125</v>
      </c>
      <c r="F29" s="44"/>
      <c r="G29" s="45"/>
      <c r="H29" s="44"/>
      <c r="I29" s="43"/>
      <c r="J29" s="44"/>
      <c r="M29" s="43"/>
    </row>
    <row r="30" spans="1:13" ht="15.75" thickBot="1" x14ac:dyDescent="0.3">
      <c r="A30" s="39" t="s">
        <v>130</v>
      </c>
      <c r="B30" s="38">
        <v>22</v>
      </c>
      <c r="C30" s="39"/>
      <c r="D30" s="40"/>
      <c r="E30" s="39" t="s">
        <v>130</v>
      </c>
      <c r="F30" s="40"/>
      <c r="G30" s="41"/>
      <c r="H30" s="40"/>
      <c r="I30" s="39"/>
      <c r="J30" s="40"/>
      <c r="M30" s="39"/>
    </row>
    <row r="31" spans="1:13" ht="15.75" thickBot="1" x14ac:dyDescent="0.3">
      <c r="A31" s="43" t="s">
        <v>135</v>
      </c>
      <c r="B31" s="42">
        <v>23</v>
      </c>
      <c r="C31" s="43"/>
      <c r="D31" s="44"/>
      <c r="E31" s="43" t="s">
        <v>135</v>
      </c>
      <c r="F31" s="44"/>
      <c r="G31" s="45"/>
      <c r="H31" s="44"/>
      <c r="I31" s="43"/>
      <c r="J31" s="44"/>
      <c r="M31" s="43"/>
    </row>
    <row r="32" spans="1:13" ht="15.75" thickBot="1" x14ac:dyDescent="0.3">
      <c r="A32" s="39" t="s">
        <v>141</v>
      </c>
      <c r="B32" s="38">
        <v>24</v>
      </c>
      <c r="C32" s="39"/>
      <c r="D32" s="40"/>
      <c r="E32" s="39" t="s">
        <v>141</v>
      </c>
      <c r="F32" s="40"/>
      <c r="G32" s="41"/>
      <c r="H32" s="40"/>
      <c r="I32" s="39"/>
      <c r="J32" s="40"/>
      <c r="M32" s="39"/>
    </row>
    <row r="33" spans="1:13" ht="15.75" thickBot="1" x14ac:dyDescent="0.3">
      <c r="A33" s="43" t="s">
        <v>147</v>
      </c>
      <c r="B33" s="42">
        <v>25</v>
      </c>
      <c r="C33" s="43"/>
      <c r="D33" s="44"/>
      <c r="E33" s="43" t="s">
        <v>147</v>
      </c>
      <c r="F33" s="44"/>
      <c r="G33" s="45"/>
      <c r="H33" s="44"/>
      <c r="I33" s="43"/>
      <c r="J33" s="44"/>
      <c r="M33" s="43"/>
    </row>
    <row r="34" spans="1:13" ht="16.5" thickBot="1" x14ac:dyDescent="0.35">
      <c r="A34" s="150" t="s">
        <v>162</v>
      </c>
      <c r="B34" s="152">
        <v>26</v>
      </c>
      <c r="C34" s="150" t="s">
        <v>220</v>
      </c>
      <c r="D34" s="153">
        <v>3</v>
      </c>
      <c r="E34" s="150" t="s">
        <v>162</v>
      </c>
      <c r="F34" s="149" t="s">
        <v>221</v>
      </c>
      <c r="G34" s="154">
        <v>1</v>
      </c>
      <c r="H34" s="149" t="s">
        <v>320</v>
      </c>
      <c r="I34" s="169" t="s">
        <v>389</v>
      </c>
      <c r="J34" s="149"/>
      <c r="M34" s="150"/>
    </row>
    <row r="35" spans="1:13" ht="16.5" thickBot="1" x14ac:dyDescent="0.35">
      <c r="A35" s="150" t="s">
        <v>173</v>
      </c>
      <c r="B35" s="152">
        <v>27</v>
      </c>
      <c r="C35" s="150" t="s">
        <v>161</v>
      </c>
      <c r="D35" s="153">
        <v>45</v>
      </c>
      <c r="E35" s="150" t="s">
        <v>173</v>
      </c>
      <c r="F35" s="149" t="s">
        <v>163</v>
      </c>
      <c r="G35" s="154">
        <v>1</v>
      </c>
      <c r="H35" s="155" t="s">
        <v>324</v>
      </c>
      <c r="I35" s="169" t="s">
        <v>392</v>
      </c>
      <c r="J35" s="149" t="s">
        <v>226</v>
      </c>
      <c r="M35" s="150" t="s">
        <v>323</v>
      </c>
    </row>
    <row r="36" spans="1:13" ht="16.5" thickBot="1" x14ac:dyDescent="0.35">
      <c r="A36" s="150" t="s">
        <v>247</v>
      </c>
      <c r="B36" s="152">
        <v>28</v>
      </c>
      <c r="C36" s="150" t="s">
        <v>172</v>
      </c>
      <c r="D36" s="153">
        <v>55</v>
      </c>
      <c r="E36" s="150" t="s">
        <v>247</v>
      </c>
      <c r="F36" s="149" t="s">
        <v>174</v>
      </c>
      <c r="G36" s="154">
        <v>1</v>
      </c>
      <c r="H36" s="149" t="s">
        <v>325</v>
      </c>
      <c r="I36" s="169" t="s">
        <v>390</v>
      </c>
      <c r="J36" s="149" t="s">
        <v>226</v>
      </c>
      <c r="M36" s="150" t="s">
        <v>322</v>
      </c>
    </row>
    <row r="37" spans="1:13" ht="15.75" thickBot="1" x14ac:dyDescent="0.3">
      <c r="A37" s="43" t="s">
        <v>248</v>
      </c>
      <c r="B37" s="42">
        <v>29</v>
      </c>
      <c r="C37" s="43"/>
      <c r="D37" s="44"/>
      <c r="E37" s="43" t="s">
        <v>248</v>
      </c>
      <c r="F37" s="44"/>
      <c r="G37" s="45"/>
      <c r="H37" s="44"/>
      <c r="I37" s="43"/>
      <c r="J37" s="44"/>
      <c r="M37" s="43"/>
    </row>
    <row r="38" spans="1:13" ht="15.75" thickBot="1" x14ac:dyDescent="0.3">
      <c r="A38" s="39" t="s">
        <v>249</v>
      </c>
      <c r="B38" s="38">
        <v>30</v>
      </c>
      <c r="C38" s="39"/>
      <c r="D38" s="40"/>
      <c r="E38" s="39" t="s">
        <v>249</v>
      </c>
      <c r="F38" s="40"/>
      <c r="G38" s="41"/>
      <c r="H38" s="40"/>
      <c r="I38" s="39"/>
      <c r="J38" s="40"/>
      <c r="M38" s="39"/>
    </row>
    <row r="39" spans="1:13" ht="15.75" thickBot="1" x14ac:dyDescent="0.3">
      <c r="A39" s="43" t="s">
        <v>250</v>
      </c>
      <c r="B39" s="42">
        <v>31</v>
      </c>
      <c r="C39" s="43"/>
      <c r="D39" s="44"/>
      <c r="E39" s="43" t="s">
        <v>250</v>
      </c>
      <c r="F39" s="44"/>
      <c r="G39" s="45"/>
      <c r="H39" s="44"/>
      <c r="I39" s="43"/>
      <c r="J39" s="44"/>
      <c r="M39" s="43"/>
    </row>
    <row r="40" spans="1:13" ht="15.75" thickBot="1" x14ac:dyDescent="0.3">
      <c r="A40" s="39" t="s">
        <v>251</v>
      </c>
      <c r="B40" s="38">
        <v>32</v>
      </c>
      <c r="C40" s="39"/>
      <c r="D40" s="40"/>
      <c r="E40" s="39" t="s">
        <v>251</v>
      </c>
      <c r="F40" s="40"/>
      <c r="G40" s="41"/>
      <c r="H40" s="40"/>
      <c r="I40" s="39"/>
      <c r="J40" s="40"/>
      <c r="M40" s="39"/>
    </row>
    <row r="41" spans="1:13" ht="15.75" thickBot="1" x14ac:dyDescent="0.3">
      <c r="A41" s="43" t="s">
        <v>252</v>
      </c>
      <c r="B41" s="42">
        <v>33</v>
      </c>
      <c r="C41" s="43"/>
      <c r="D41" s="44"/>
      <c r="E41" s="43" t="s">
        <v>252</v>
      </c>
      <c r="F41" s="44"/>
      <c r="G41" s="45"/>
      <c r="H41" s="44"/>
      <c r="I41" s="43"/>
      <c r="J41" s="44"/>
      <c r="M41" s="43"/>
    </row>
    <row r="42" spans="1:13" ht="15.75" thickBot="1" x14ac:dyDescent="0.3">
      <c r="A42" s="39" t="s">
        <v>253</v>
      </c>
      <c r="B42" s="38">
        <v>34</v>
      </c>
      <c r="C42" s="39"/>
      <c r="D42" s="40"/>
      <c r="E42" s="39" t="s">
        <v>253</v>
      </c>
      <c r="F42" s="40"/>
      <c r="G42" s="41"/>
      <c r="H42" s="40"/>
      <c r="I42" s="39"/>
      <c r="J42" s="40"/>
      <c r="M42" s="39"/>
    </row>
    <row r="43" spans="1:13" ht="15.75" thickBot="1" x14ac:dyDescent="0.3">
      <c r="A43" s="43" t="s">
        <v>254</v>
      </c>
      <c r="B43" s="42">
        <v>35</v>
      </c>
      <c r="C43" s="43"/>
      <c r="D43" s="44"/>
      <c r="E43" s="43" t="s">
        <v>254</v>
      </c>
      <c r="F43" s="44"/>
      <c r="G43" s="45"/>
      <c r="H43" s="44" t="s">
        <v>334</v>
      </c>
      <c r="I43" s="43"/>
      <c r="J43" s="44"/>
      <c r="M43" s="43"/>
    </row>
    <row r="44" spans="1:13" ht="15.75" thickBot="1" x14ac:dyDescent="0.3">
      <c r="A44" s="39" t="s">
        <v>255</v>
      </c>
      <c r="B44" s="38">
        <v>36</v>
      </c>
      <c r="C44" s="39"/>
      <c r="D44" s="40"/>
      <c r="E44" s="39" t="s">
        <v>255</v>
      </c>
      <c r="F44" s="40"/>
      <c r="G44" s="41"/>
      <c r="H44" s="40" t="s">
        <v>335</v>
      </c>
      <c r="I44" s="39"/>
      <c r="J44" s="40"/>
      <c r="M44" s="39"/>
    </row>
    <row r="45" spans="1:13" ht="15.75" thickBot="1" x14ac:dyDescent="0.3">
      <c r="A45" s="43" t="s">
        <v>256</v>
      </c>
      <c r="B45" s="42">
        <v>37</v>
      </c>
      <c r="C45" s="43"/>
      <c r="D45" s="44"/>
      <c r="E45" s="43" t="s">
        <v>256</v>
      </c>
      <c r="F45" s="44"/>
      <c r="G45" s="45"/>
      <c r="H45" s="44" t="s">
        <v>336</v>
      </c>
      <c r="I45" s="43"/>
      <c r="J45" s="44"/>
      <c r="M45" s="43"/>
    </row>
    <row r="46" spans="1:13" ht="15.75" thickBot="1" x14ac:dyDescent="0.3">
      <c r="A46" s="39" t="s">
        <v>257</v>
      </c>
      <c r="B46" s="38">
        <v>38</v>
      </c>
      <c r="C46" s="39"/>
      <c r="D46" s="40"/>
      <c r="E46" s="39" t="s">
        <v>257</v>
      </c>
      <c r="F46" s="40"/>
      <c r="G46" s="41"/>
      <c r="H46" s="40"/>
      <c r="I46" s="39"/>
      <c r="J46" s="40"/>
    </row>
    <row r="47" spans="1:13" ht="15.75" thickBot="1" x14ac:dyDescent="0.3">
      <c r="A47" s="43" t="s">
        <v>258</v>
      </c>
      <c r="B47" s="42">
        <v>39</v>
      </c>
      <c r="C47" s="43"/>
      <c r="D47" s="44"/>
      <c r="E47" s="43" t="s">
        <v>258</v>
      </c>
      <c r="F47" s="44"/>
      <c r="G47" s="45"/>
      <c r="H47" s="44"/>
      <c r="I47" s="43"/>
      <c r="J47" s="44"/>
    </row>
    <row r="48" spans="1:13" ht="15.75" thickBot="1" x14ac:dyDescent="0.3">
      <c r="A48" s="39" t="s">
        <v>259</v>
      </c>
      <c r="B48" s="38">
        <v>40</v>
      </c>
      <c r="C48" s="39"/>
      <c r="D48" s="40"/>
      <c r="E48" s="39" t="s">
        <v>259</v>
      </c>
      <c r="F48" s="40"/>
      <c r="G48" s="41"/>
      <c r="H48" s="40"/>
      <c r="I48" s="39"/>
      <c r="J48" s="40"/>
    </row>
    <row r="49" spans="1:10" ht="15.75" thickBot="1" x14ac:dyDescent="0.3">
      <c r="A49" s="43" t="s">
        <v>260</v>
      </c>
      <c r="B49" s="42">
        <v>41</v>
      </c>
      <c r="C49" s="43"/>
      <c r="D49" s="44"/>
      <c r="E49" s="43" t="s">
        <v>260</v>
      </c>
      <c r="F49" s="44"/>
      <c r="G49" s="45"/>
      <c r="H49" s="44"/>
      <c r="I49" s="43"/>
      <c r="J49" s="44"/>
    </row>
    <row r="50" spans="1:10" ht="15.75" thickBot="1" x14ac:dyDescent="0.3">
      <c r="A50" s="39" t="s">
        <v>261</v>
      </c>
      <c r="B50" s="38">
        <v>42</v>
      </c>
      <c r="C50" s="39"/>
      <c r="D50" s="40"/>
      <c r="E50" s="39" t="s">
        <v>261</v>
      </c>
      <c r="F50" s="40"/>
      <c r="G50" s="41"/>
      <c r="H50" s="40"/>
      <c r="I50" s="39"/>
      <c r="J50" s="40"/>
    </row>
    <row r="51" spans="1:10" ht="15.75" thickBot="1" x14ac:dyDescent="0.3">
      <c r="A51" s="43" t="s">
        <v>262</v>
      </c>
      <c r="B51" s="42">
        <v>43</v>
      </c>
      <c r="C51" s="43"/>
      <c r="D51" s="44"/>
      <c r="E51" s="43" t="s">
        <v>262</v>
      </c>
      <c r="F51" s="44"/>
      <c r="G51" s="45"/>
      <c r="H51" s="44"/>
      <c r="I51" s="43"/>
      <c r="J51" s="44"/>
    </row>
    <row r="52" spans="1:10" ht="15.75" thickBot="1" x14ac:dyDescent="0.3">
      <c r="A52" s="39" t="s">
        <v>263</v>
      </c>
      <c r="B52" s="38">
        <v>44</v>
      </c>
      <c r="C52" s="39"/>
      <c r="D52" s="40"/>
      <c r="E52" s="39" t="s">
        <v>263</v>
      </c>
      <c r="F52" s="40"/>
      <c r="G52" s="41"/>
      <c r="H52" s="40"/>
      <c r="I52" s="39"/>
      <c r="J52" s="40"/>
    </row>
    <row r="53" spans="1:10" ht="15.75" thickBot="1" x14ac:dyDescent="0.3">
      <c r="A53" s="43" t="s">
        <v>264</v>
      </c>
      <c r="B53" s="42">
        <v>45</v>
      </c>
      <c r="C53" s="43"/>
      <c r="D53" s="44"/>
      <c r="E53" s="43" t="s">
        <v>264</v>
      </c>
      <c r="F53" s="44"/>
      <c r="G53" s="45"/>
      <c r="H53" s="44"/>
      <c r="I53" s="43"/>
      <c r="J53" s="44"/>
    </row>
    <row r="54" spans="1:10" ht="15.75" thickBot="1" x14ac:dyDescent="0.3">
      <c r="A54" s="39" t="s">
        <v>265</v>
      </c>
      <c r="B54" s="38">
        <v>46</v>
      </c>
      <c r="C54" s="39"/>
      <c r="D54" s="40"/>
      <c r="E54" s="39" t="s">
        <v>265</v>
      </c>
      <c r="F54" s="40"/>
      <c r="G54" s="41"/>
      <c r="H54" s="40"/>
      <c r="I54" s="39"/>
      <c r="J54" s="40"/>
    </row>
    <row r="55" spans="1:10" ht="15.75" thickBot="1" x14ac:dyDescent="0.3">
      <c r="A55" s="43" t="s">
        <v>266</v>
      </c>
      <c r="B55" s="42">
        <v>47</v>
      </c>
      <c r="C55" s="43"/>
      <c r="D55" s="44"/>
      <c r="E55" s="43" t="s">
        <v>266</v>
      </c>
      <c r="F55" s="44"/>
      <c r="G55" s="45"/>
      <c r="H55" s="44"/>
      <c r="I55" s="43"/>
      <c r="J55" s="44"/>
    </row>
    <row r="56" spans="1:10" ht="15.75" thickBot="1" x14ac:dyDescent="0.3">
      <c r="A56" s="39" t="s">
        <v>267</v>
      </c>
      <c r="B56" s="38">
        <v>48</v>
      </c>
      <c r="C56" s="39"/>
      <c r="D56" s="40"/>
      <c r="E56" s="39" t="s">
        <v>267</v>
      </c>
      <c r="F56" s="40"/>
      <c r="G56" s="41"/>
      <c r="H56" s="40"/>
      <c r="I56" s="39"/>
      <c r="J56" s="40"/>
    </row>
    <row r="57" spans="1:10" ht="15.75" thickBot="1" x14ac:dyDescent="0.3">
      <c r="A57" s="43" t="s">
        <v>268</v>
      </c>
      <c r="B57" s="42">
        <v>49</v>
      </c>
      <c r="C57" s="43"/>
      <c r="D57" s="44"/>
      <c r="E57" s="43" t="s">
        <v>268</v>
      </c>
      <c r="F57" s="44"/>
      <c r="G57" s="45"/>
      <c r="H57" s="44"/>
      <c r="I57" s="43"/>
      <c r="J57" s="44"/>
    </row>
    <row r="58" spans="1:10" ht="15.75" thickBot="1" x14ac:dyDescent="0.3">
      <c r="A58" s="39" t="s">
        <v>269</v>
      </c>
      <c r="B58" s="38">
        <v>50</v>
      </c>
      <c r="C58" s="39" t="s">
        <v>381</v>
      </c>
      <c r="D58" s="40">
        <v>200</v>
      </c>
      <c r="E58" s="39" t="s">
        <v>269</v>
      </c>
      <c r="F58" s="40" t="s">
        <v>380</v>
      </c>
      <c r="G58" s="41">
        <v>1</v>
      </c>
      <c r="H58" s="40" t="s">
        <v>382</v>
      </c>
      <c r="I58" s="39"/>
      <c r="J58" s="40" t="s">
        <v>226</v>
      </c>
    </row>
    <row r="59" spans="1:10" ht="15.75" thickBot="1" x14ac:dyDescent="0.3">
      <c r="A59" s="31"/>
      <c r="B59" s="30"/>
      <c r="C59" s="31"/>
      <c r="D59" s="32"/>
      <c r="E59" s="31"/>
      <c r="F59" s="32"/>
      <c r="G59" s="33"/>
      <c r="H59" s="32"/>
      <c r="I59" s="31"/>
      <c r="J59" s="32"/>
    </row>
    <row r="60" spans="1:10" ht="15.75" thickBot="1" x14ac:dyDescent="0.3">
      <c r="A60" s="35"/>
      <c r="B60" s="34"/>
      <c r="C60" s="35"/>
      <c r="D60" s="36"/>
      <c r="E60" s="35"/>
      <c r="F60" s="36"/>
      <c r="G60" s="37"/>
      <c r="H60" s="36"/>
      <c r="I60" s="35"/>
      <c r="J60" s="36"/>
    </row>
    <row r="61" spans="1:10" ht="15.75" thickBot="1" x14ac:dyDescent="0.3">
      <c r="A61" s="31"/>
      <c r="B61" s="30"/>
      <c r="C61" s="31"/>
      <c r="D61" s="32"/>
      <c r="E61" s="31"/>
      <c r="F61" s="32"/>
      <c r="G61" s="33"/>
      <c r="H61" s="32"/>
      <c r="I61" s="31"/>
      <c r="J61" s="32"/>
    </row>
    <row r="62" spans="1:10" ht="15.75" thickBot="1" x14ac:dyDescent="0.3">
      <c r="A62" s="35"/>
      <c r="B62" s="34"/>
      <c r="C62" s="35"/>
      <c r="D62" s="36"/>
      <c r="E62" s="35"/>
      <c r="F62" s="36"/>
      <c r="G62" s="37"/>
      <c r="H62" s="36"/>
      <c r="I62" s="35"/>
      <c r="J62" s="36"/>
    </row>
    <row r="63" spans="1:10" ht="15.75" thickBot="1" x14ac:dyDescent="0.3">
      <c r="A63" s="31"/>
      <c r="B63" s="30"/>
      <c r="C63" s="31"/>
      <c r="D63" s="32"/>
      <c r="E63" s="31"/>
      <c r="F63" s="32"/>
      <c r="G63" s="33"/>
      <c r="H63" s="32"/>
      <c r="I63" s="31"/>
      <c r="J63" s="32"/>
    </row>
    <row r="64" spans="1:10" ht="15.75" thickBot="1" x14ac:dyDescent="0.3">
      <c r="A64" s="35"/>
      <c r="B64" s="34"/>
      <c r="C64" s="35"/>
      <c r="D64" s="36"/>
      <c r="E64" s="35"/>
      <c r="F64" s="36"/>
      <c r="G64" s="37"/>
      <c r="H64" s="36"/>
      <c r="I64" s="35"/>
      <c r="J64" s="36"/>
    </row>
    <row r="65" spans="1:10" ht="15.75" thickBot="1" x14ac:dyDescent="0.3">
      <c r="A65" s="31"/>
      <c r="B65" s="30"/>
      <c r="C65" s="31"/>
      <c r="D65" s="32"/>
      <c r="E65" s="31"/>
      <c r="F65" s="32"/>
      <c r="G65" s="33"/>
      <c r="H65" s="32"/>
      <c r="I65" s="31"/>
      <c r="J65" s="32"/>
    </row>
    <row r="66" spans="1:10" ht="15.75" thickBot="1" x14ac:dyDescent="0.3">
      <c r="A66" s="35"/>
      <c r="B66" s="34"/>
      <c r="C66" s="35"/>
      <c r="D66" s="36"/>
      <c r="E66" s="35"/>
      <c r="F66" s="36"/>
      <c r="G66" s="37"/>
      <c r="H66" s="36"/>
      <c r="I66" s="35"/>
      <c r="J66" s="36"/>
    </row>
    <row r="67" spans="1:10" ht="15.75" thickBot="1" x14ac:dyDescent="0.3">
      <c r="A67" s="31"/>
      <c r="B67" s="30"/>
      <c r="C67" s="31"/>
      <c r="D67" s="32"/>
      <c r="E67" s="31"/>
      <c r="F67" s="32"/>
      <c r="G67" s="33"/>
      <c r="H67" s="32"/>
      <c r="I67" s="31"/>
      <c r="J67" s="32"/>
    </row>
    <row r="68" spans="1:10" ht="15.75" thickBot="1" x14ac:dyDescent="0.3">
      <c r="A68" s="35"/>
      <c r="B68" s="34"/>
      <c r="C68" s="35"/>
      <c r="D68" s="36"/>
      <c r="E68" s="35"/>
      <c r="F68" s="36"/>
      <c r="G68" s="37"/>
      <c r="H68" s="36"/>
      <c r="I68" s="35"/>
      <c r="J68" s="36"/>
    </row>
    <row r="69" spans="1:10" ht="15.75" thickBot="1" x14ac:dyDescent="0.3">
      <c r="A69" s="31"/>
      <c r="B69" s="30"/>
      <c r="C69" s="31"/>
      <c r="D69" s="32"/>
      <c r="E69" s="31"/>
      <c r="F69" s="32"/>
      <c r="G69" s="33"/>
      <c r="H69" s="32"/>
      <c r="I69" s="31"/>
      <c r="J69" s="32"/>
    </row>
    <row r="70" spans="1:10" ht="15.75" thickBot="1" x14ac:dyDescent="0.3">
      <c r="A70" s="35"/>
      <c r="B70" s="34"/>
      <c r="C70" s="35"/>
      <c r="D70" s="36"/>
      <c r="E70" s="35"/>
      <c r="F70" s="36"/>
      <c r="G70" s="37"/>
      <c r="H70" s="36"/>
      <c r="I70" s="35"/>
      <c r="J70" s="36"/>
    </row>
    <row r="71" spans="1:10" ht="15.75" thickBot="1" x14ac:dyDescent="0.3">
      <c r="A71" s="31"/>
      <c r="B71" s="30"/>
      <c r="C71" s="31"/>
      <c r="D71" s="32"/>
      <c r="E71" s="31"/>
      <c r="F71" s="32"/>
      <c r="G71" s="33"/>
      <c r="H71" s="32"/>
      <c r="I71" s="31"/>
      <c r="J71" s="32"/>
    </row>
    <row r="72" spans="1:10" ht="15.75" thickBot="1" x14ac:dyDescent="0.3">
      <c r="A72" s="35"/>
      <c r="B72" s="34"/>
      <c r="C72" s="35"/>
      <c r="D72" s="36"/>
      <c r="E72" s="35"/>
      <c r="F72" s="36"/>
      <c r="G72" s="37"/>
      <c r="H72" s="36"/>
      <c r="I72" s="35"/>
      <c r="J72" s="36"/>
    </row>
    <row r="73" spans="1:10" ht="15.75" thickBot="1" x14ac:dyDescent="0.3">
      <c r="A73" s="31"/>
      <c r="B73" s="30"/>
      <c r="C73" s="31"/>
      <c r="D73" s="32"/>
      <c r="E73" s="31"/>
      <c r="F73" s="32"/>
      <c r="G73" s="33"/>
      <c r="H73" s="32"/>
      <c r="I73" s="31"/>
      <c r="J73" s="32"/>
    </row>
    <row r="74" spans="1:10" ht="15.75" thickBot="1" x14ac:dyDescent="0.3">
      <c r="A74" s="35"/>
      <c r="B74" s="34"/>
      <c r="C74" s="35"/>
      <c r="D74" s="36"/>
      <c r="E74" s="35"/>
      <c r="F74" s="36"/>
      <c r="G74" s="37"/>
      <c r="H74" s="36"/>
      <c r="I74" s="35"/>
      <c r="J74" s="36"/>
    </row>
    <row r="75" spans="1:10" ht="15.75" thickBot="1" x14ac:dyDescent="0.3">
      <c r="A75" s="31"/>
      <c r="B75" s="30"/>
      <c r="C75" s="31"/>
      <c r="D75" s="32"/>
      <c r="E75" s="31"/>
      <c r="F75" s="32"/>
      <c r="G75" s="33"/>
      <c r="H75" s="32"/>
      <c r="I75" s="31"/>
      <c r="J75" s="32"/>
    </row>
    <row r="76" spans="1:10" ht="15.75" thickBot="1" x14ac:dyDescent="0.3">
      <c r="A76" s="35"/>
      <c r="B76" s="34"/>
      <c r="C76" s="35"/>
      <c r="D76" s="36"/>
      <c r="E76" s="35"/>
      <c r="F76" s="36"/>
      <c r="G76" s="37"/>
      <c r="H76" s="36"/>
      <c r="I76" s="35"/>
      <c r="J76" s="36"/>
    </row>
    <row r="77" spans="1:10" ht="15.75" thickBot="1" x14ac:dyDescent="0.3">
      <c r="A77" s="31"/>
      <c r="B77" s="30"/>
      <c r="C77" s="31"/>
      <c r="D77" s="32"/>
      <c r="E77" s="31"/>
      <c r="F77" s="32"/>
      <c r="G77" s="33"/>
      <c r="H77" s="32"/>
      <c r="I77" s="31"/>
      <c r="J77" s="32"/>
    </row>
    <row r="78" spans="1:10" ht="15.75" thickBot="1" x14ac:dyDescent="0.3">
      <c r="A78" s="35"/>
      <c r="B78" s="34"/>
      <c r="C78" s="35"/>
      <c r="D78" s="36"/>
      <c r="E78" s="35"/>
      <c r="F78" s="36"/>
      <c r="G78" s="37"/>
      <c r="H78" s="36"/>
      <c r="I78" s="35"/>
      <c r="J78" s="36"/>
    </row>
    <row r="79" spans="1:10" ht="15.75" thickBot="1" x14ac:dyDescent="0.3">
      <c r="A79" s="31"/>
      <c r="B79" s="30"/>
      <c r="C79" s="31"/>
      <c r="D79" s="32"/>
      <c r="E79" s="31"/>
      <c r="F79" s="32"/>
      <c r="G79" s="33"/>
      <c r="H79" s="32"/>
      <c r="I79" s="31"/>
      <c r="J79" s="32"/>
    </row>
    <row r="80" spans="1:10" ht="15.75" thickBot="1" x14ac:dyDescent="0.3">
      <c r="A80" s="35"/>
      <c r="B80" s="34"/>
      <c r="C80" s="35"/>
      <c r="D80" s="36"/>
      <c r="E80" s="35"/>
      <c r="F80" s="36"/>
      <c r="G80" s="37"/>
      <c r="H80" s="36"/>
      <c r="I80" s="35"/>
      <c r="J80" s="36"/>
    </row>
    <row r="81" spans="1:10" ht="15.75" thickBot="1" x14ac:dyDescent="0.3">
      <c r="A81" s="31"/>
      <c r="B81" s="30"/>
      <c r="C81" s="31"/>
      <c r="D81" s="32"/>
      <c r="E81" s="31"/>
      <c r="F81" s="32"/>
      <c r="G81" s="33"/>
      <c r="H81" s="32"/>
      <c r="I81" s="31"/>
      <c r="J81" s="32"/>
    </row>
    <row r="82" spans="1:10" ht="15.75" thickBot="1" x14ac:dyDescent="0.3">
      <c r="A82" s="35"/>
      <c r="B82" s="34"/>
      <c r="C82" s="35"/>
      <c r="D82" s="36"/>
      <c r="E82" s="35"/>
      <c r="F82" s="36"/>
      <c r="G82" s="37"/>
      <c r="H82" s="36"/>
      <c r="I82" s="35"/>
      <c r="J82" s="36"/>
    </row>
    <row r="83" spans="1:10" ht="15.75" thickBot="1" x14ac:dyDescent="0.3">
      <c r="A83" s="31"/>
      <c r="B83" s="30"/>
      <c r="C83" s="31"/>
      <c r="D83" s="32"/>
      <c r="E83" s="31"/>
      <c r="F83" s="32"/>
      <c r="G83" s="33"/>
      <c r="H83" s="32"/>
      <c r="I83" s="31"/>
      <c r="J83" s="32"/>
    </row>
    <row r="84" spans="1:10" ht="15.75" thickBot="1" x14ac:dyDescent="0.3">
      <c r="A84" s="35"/>
      <c r="B84" s="34"/>
      <c r="C84" s="35"/>
      <c r="D84" s="36"/>
      <c r="E84" s="35"/>
      <c r="F84" s="36"/>
      <c r="G84" s="37"/>
      <c r="H84" s="36"/>
      <c r="I84" s="35"/>
      <c r="J84" s="36"/>
    </row>
    <row r="85" spans="1:10" ht="15.75" thickBot="1" x14ac:dyDescent="0.3">
      <c r="A85" s="31"/>
      <c r="B85" s="30"/>
      <c r="C85" s="31"/>
      <c r="D85" s="32"/>
      <c r="E85" s="31"/>
      <c r="F85" s="32"/>
      <c r="G85" s="33"/>
      <c r="H85" s="32"/>
      <c r="I85" s="31"/>
      <c r="J85" s="32"/>
    </row>
    <row r="86" spans="1:10" ht="15.75" thickBot="1" x14ac:dyDescent="0.3">
      <c r="A86" s="35"/>
      <c r="B86" s="34"/>
      <c r="C86" s="35"/>
      <c r="D86" s="36"/>
      <c r="E86" s="35"/>
      <c r="F86" s="36"/>
      <c r="G86" s="37"/>
      <c r="H86" s="36"/>
      <c r="I86" s="35"/>
      <c r="J86" s="36"/>
    </row>
    <row r="87" spans="1:10" ht="15.75" thickBot="1" x14ac:dyDescent="0.3">
      <c r="A87" s="31"/>
      <c r="B87" s="30"/>
      <c r="C87" s="31"/>
      <c r="D87" s="32"/>
      <c r="E87" s="31"/>
      <c r="F87" s="32"/>
      <c r="G87" s="33"/>
      <c r="H87" s="32"/>
      <c r="I87" s="31"/>
      <c r="J87" s="32"/>
    </row>
    <row r="88" spans="1:10" ht="15.75" thickBot="1" x14ac:dyDescent="0.3">
      <c r="A88" s="35"/>
      <c r="B88" s="34"/>
      <c r="C88" s="35"/>
      <c r="D88" s="36"/>
      <c r="E88" s="35"/>
      <c r="F88" s="36"/>
      <c r="G88" s="37"/>
      <c r="H88" s="36"/>
      <c r="I88" s="35"/>
      <c r="J88" s="36"/>
    </row>
    <row r="89" spans="1:10" ht="15.75" thickBot="1" x14ac:dyDescent="0.3">
      <c r="A89" s="31"/>
      <c r="B89" s="30"/>
      <c r="C89" s="31"/>
      <c r="D89" s="32"/>
      <c r="E89" s="31"/>
      <c r="F89" s="32"/>
      <c r="G89" s="33"/>
      <c r="H89" s="32"/>
      <c r="I89" s="31"/>
      <c r="J89" s="32"/>
    </row>
    <row r="90" spans="1:10" ht="15.75" thickBot="1" x14ac:dyDescent="0.3">
      <c r="A90" s="35"/>
      <c r="B90" s="34"/>
      <c r="C90" s="35"/>
      <c r="D90" s="36"/>
      <c r="E90" s="35"/>
      <c r="F90" s="36"/>
      <c r="G90" s="37"/>
      <c r="H90" s="36"/>
      <c r="I90" s="35"/>
      <c r="J90" s="36"/>
    </row>
    <row r="91" spans="1:10" ht="15.75" thickBot="1" x14ac:dyDescent="0.3">
      <c r="A91" s="31"/>
      <c r="B91" s="30"/>
      <c r="C91" s="31"/>
      <c r="D91" s="32"/>
      <c r="E91" s="31"/>
      <c r="F91" s="32"/>
      <c r="G91" s="33"/>
      <c r="H91" s="32"/>
      <c r="I91" s="31"/>
      <c r="J91" s="32"/>
    </row>
    <row r="92" spans="1:10" ht="15.75" thickBot="1" x14ac:dyDescent="0.3">
      <c r="A92" s="35"/>
      <c r="B92" s="34"/>
      <c r="C92" s="35"/>
      <c r="D92" s="36"/>
      <c r="E92" s="35"/>
      <c r="F92" s="36"/>
      <c r="G92" s="37"/>
      <c r="H92" s="36"/>
      <c r="I92" s="35"/>
      <c r="J92" s="36"/>
    </row>
    <row r="93" spans="1:10" ht="15.75" thickBot="1" x14ac:dyDescent="0.3">
      <c r="A93" s="31"/>
      <c r="B93" s="30"/>
      <c r="C93" s="31"/>
      <c r="D93" s="32"/>
      <c r="E93" s="31"/>
      <c r="F93" s="32"/>
      <c r="G93" s="33"/>
      <c r="H93" s="32"/>
      <c r="I93" s="31"/>
      <c r="J93" s="32"/>
    </row>
    <row r="94" spans="1:10" ht="15.75" thickBot="1" x14ac:dyDescent="0.3">
      <c r="A94" s="35"/>
      <c r="B94" s="34"/>
      <c r="C94" s="35"/>
      <c r="D94" s="36"/>
      <c r="E94" s="35"/>
      <c r="F94" s="36"/>
      <c r="G94" s="37"/>
      <c r="H94" s="36"/>
      <c r="I94" s="35"/>
      <c r="J94" s="36"/>
    </row>
    <row r="95" spans="1:10" ht="15.75" thickBot="1" x14ac:dyDescent="0.3">
      <c r="A95" s="31"/>
      <c r="B95" s="30"/>
      <c r="C95" s="31"/>
      <c r="D95" s="32"/>
      <c r="E95" s="31"/>
      <c r="F95" s="32"/>
      <c r="G95" s="33"/>
      <c r="H95" s="32"/>
      <c r="I95" s="31"/>
      <c r="J95" s="32"/>
    </row>
    <row r="96" spans="1:10" ht="15.75" thickBot="1" x14ac:dyDescent="0.3">
      <c r="A96" s="35"/>
      <c r="B96" s="34"/>
      <c r="C96" s="35"/>
      <c r="D96" s="36"/>
      <c r="E96" s="35"/>
      <c r="F96" s="36"/>
      <c r="G96" s="37"/>
      <c r="H96" s="36"/>
      <c r="I96" s="35"/>
      <c r="J96" s="36"/>
    </row>
    <row r="97" spans="1:10" ht="15.75" thickBot="1" x14ac:dyDescent="0.3">
      <c r="A97" s="31"/>
      <c r="B97" s="30"/>
      <c r="C97" s="31"/>
      <c r="D97" s="32"/>
      <c r="E97" s="31"/>
      <c r="F97" s="32"/>
      <c r="G97" s="33"/>
      <c r="H97" s="32"/>
      <c r="I97" s="31"/>
      <c r="J97" s="32"/>
    </row>
    <row r="98" spans="1:10" ht="15.75" thickBot="1" x14ac:dyDescent="0.3">
      <c r="A98" s="35"/>
      <c r="C98" s="35"/>
      <c r="D98" s="36"/>
      <c r="E98" s="35"/>
      <c r="F98" s="36"/>
      <c r="G98" s="37"/>
      <c r="H98" s="36"/>
      <c r="I98" s="35"/>
      <c r="J98" s="36"/>
    </row>
    <row r="99" spans="1:10" ht="15.75" thickBot="1" x14ac:dyDescent="0.3">
      <c r="A99" s="31"/>
      <c r="C99" s="31"/>
      <c r="D99" s="32"/>
      <c r="E99" s="31"/>
      <c r="F99" s="32"/>
      <c r="G99" s="33"/>
      <c r="H99" s="32"/>
      <c r="I99" s="31"/>
      <c r="J99" s="32"/>
    </row>
  </sheetData>
  <mergeCells count="10">
    <mergeCell ref="H13:H19"/>
    <mergeCell ref="J13:J19"/>
    <mergeCell ref="A13:A19"/>
    <mergeCell ref="B13:B19"/>
    <mergeCell ref="C13:C19"/>
    <mergeCell ref="D13:D19"/>
    <mergeCell ref="E13:E19"/>
    <mergeCell ref="F13:F19"/>
    <mergeCell ref="G13:G19"/>
    <mergeCell ref="I13:I1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 filterMode="1">
    <tabColor rgb="FFFF0000"/>
    <pageSetUpPr fitToPage="1"/>
  </sheetPr>
  <dimension ref="A1:X68"/>
  <sheetViews>
    <sheetView topLeftCell="A19" zoomScaleNormal="100" workbookViewId="0">
      <selection activeCell="B21" sqref="B21:G67"/>
    </sheetView>
  </sheetViews>
  <sheetFormatPr defaultColWidth="0" defaultRowHeight="12.75" zeroHeight="1" x14ac:dyDescent="0.2"/>
  <cols>
    <col min="1" max="1" width="1.7109375" style="64" customWidth="1"/>
    <col min="2" max="2" width="13.140625" style="87" bestFit="1" customWidth="1"/>
    <col min="3" max="4" width="29.7109375" style="87" customWidth="1"/>
    <col min="5" max="5" width="64.28515625" style="87" customWidth="1"/>
    <col min="6" max="6" width="15.85546875" style="87" customWidth="1"/>
    <col min="7" max="7" width="25" style="87" customWidth="1"/>
    <col min="8" max="8" width="1.7109375" style="87" customWidth="1"/>
    <col min="9" max="9" width="0.42578125" style="87" customWidth="1"/>
    <col min="10" max="10" width="9.140625" style="1" hidden="1" customWidth="1"/>
    <col min="11" max="11" width="22.7109375" style="1" hidden="1" customWidth="1"/>
    <col min="12" max="12" width="8" style="1" hidden="1" customWidth="1"/>
    <col min="13" max="13" width="10.85546875" style="1" hidden="1" customWidth="1"/>
    <col min="14" max="14" width="6.85546875" style="1" hidden="1" customWidth="1"/>
    <col min="15" max="15" width="8" style="1" hidden="1" customWidth="1"/>
    <col min="16" max="16" width="17" style="1" hidden="1" customWidth="1"/>
    <col min="17" max="17" width="7" style="1" hidden="1" customWidth="1"/>
    <col min="18" max="18" width="2" style="1" hidden="1" customWidth="1"/>
    <col min="19" max="19" width="7" style="1" hidden="1" customWidth="1"/>
    <col min="20" max="20" width="3" style="1" hidden="1" customWidth="1"/>
    <col min="21" max="21" width="7" style="1" hidden="1" customWidth="1"/>
    <col min="22" max="22" width="3" style="1" hidden="1" customWidth="1"/>
    <col min="23" max="23" width="9.140625" style="1" hidden="1" customWidth="1"/>
    <col min="24" max="24" width="11.42578125" style="1" hidden="1" customWidth="1"/>
    <col min="25" max="16384" width="9.140625" style="1" hidden="1"/>
  </cols>
  <sheetData>
    <row r="1" spans="1:17" ht="13.5" customHeight="1" thickBot="1" x14ac:dyDescent="0.25">
      <c r="A1" s="65"/>
      <c r="B1" s="67"/>
      <c r="C1" s="67"/>
      <c r="D1" s="67"/>
      <c r="E1" s="67"/>
      <c r="F1" s="67"/>
      <c r="G1" s="67"/>
      <c r="H1" s="70"/>
      <c r="I1" s="64"/>
      <c r="J1" s="1">
        <v>1</v>
      </c>
    </row>
    <row r="2" spans="1:17" ht="24" thickBot="1" x14ac:dyDescent="0.4">
      <c r="A2" s="72"/>
      <c r="B2" s="223" t="s">
        <v>287</v>
      </c>
      <c r="C2" s="223"/>
      <c r="D2" s="222"/>
      <c r="E2" s="220"/>
      <c r="F2" s="220"/>
      <c r="G2" s="221"/>
      <c r="H2" s="73"/>
      <c r="I2" s="64"/>
      <c r="J2" s="1">
        <v>1</v>
      </c>
      <c r="L2" s="1" t="s">
        <v>294</v>
      </c>
      <c r="M2" s="1">
        <f>IF(D2&gt;0,0,1)</f>
        <v>1</v>
      </c>
    </row>
    <row r="3" spans="1:17" ht="13.5" thickBot="1" x14ac:dyDescent="0.25">
      <c r="A3" s="72"/>
      <c r="B3" s="89"/>
      <c r="C3" s="75"/>
      <c r="D3" s="75"/>
      <c r="E3" s="75"/>
      <c r="F3" s="76"/>
      <c r="G3" s="76"/>
      <c r="H3" s="73"/>
      <c r="I3" s="64"/>
      <c r="J3" s="1">
        <v>1</v>
      </c>
    </row>
    <row r="4" spans="1:17" ht="24" thickBot="1" x14ac:dyDescent="0.4">
      <c r="A4" s="72"/>
      <c r="B4" s="223" t="s">
        <v>288</v>
      </c>
      <c r="C4" s="223"/>
      <c r="D4" s="110"/>
      <c r="E4" s="127" t="str">
        <f>M7</f>
        <v>ERRORE DI MANCATA COMPILAZIONE DATI NECESSARI PER L'ORDINATIVO</v>
      </c>
      <c r="F4" s="76"/>
      <c r="G4" s="76"/>
      <c r="H4" s="73"/>
      <c r="I4" s="64"/>
      <c r="J4" s="1">
        <v>1</v>
      </c>
      <c r="L4" s="1" t="s">
        <v>295</v>
      </c>
      <c r="M4" s="1">
        <f>IF(D4&gt;0,0,1)</f>
        <v>1</v>
      </c>
    </row>
    <row r="5" spans="1:17" ht="13.5" thickBot="1" x14ac:dyDescent="0.25">
      <c r="A5" s="72"/>
      <c r="B5" s="74"/>
      <c r="C5" s="75"/>
      <c r="D5" s="90"/>
      <c r="E5" s="126" t="str">
        <f>M8</f>
        <v/>
      </c>
      <c r="F5" s="76"/>
      <c r="G5" s="76"/>
      <c r="H5" s="73"/>
      <c r="I5" s="64"/>
      <c r="J5" s="1">
        <v>1</v>
      </c>
    </row>
    <row r="6" spans="1:17" ht="24" customHeight="1" thickBot="1" x14ac:dyDescent="0.4">
      <c r="A6" s="72"/>
      <c r="B6" s="223" t="s">
        <v>289</v>
      </c>
      <c r="C6" s="223"/>
      <c r="D6" s="111"/>
      <c r="E6" s="108" t="str">
        <f>M9</f>
        <v/>
      </c>
      <c r="F6" s="76"/>
      <c r="G6" s="76"/>
      <c r="H6" s="73"/>
      <c r="I6" s="64"/>
      <c r="J6" s="1">
        <v>1</v>
      </c>
      <c r="L6" s="1" t="s">
        <v>302</v>
      </c>
      <c r="M6" s="1">
        <f>IF(D6&gt;0,0,1)</f>
        <v>1</v>
      </c>
    </row>
    <row r="7" spans="1:17" ht="13.5" thickBot="1" x14ac:dyDescent="0.25">
      <c r="A7" s="72"/>
      <c r="B7" s="74"/>
      <c r="C7" s="75"/>
      <c r="D7" s="90"/>
      <c r="E7" s="126" t="str">
        <f>M10</f>
        <v/>
      </c>
      <c r="F7" s="76"/>
      <c r="G7" s="76"/>
      <c r="H7" s="73"/>
      <c r="I7" s="64"/>
      <c r="J7" s="1">
        <v>1</v>
      </c>
      <c r="L7" s="60" t="s">
        <v>303</v>
      </c>
      <c r="M7" s="125" t="str">
        <f>IF(M2+M4+M6+M11+M13+M16+M18+O18+O13,"ERRORE DI MANCATA COMPILAZIONE DATI NECESSARI PER L'ORDINATIVO","")</f>
        <v>ERRORE DI MANCATA COMPILAZIONE DATI NECESSARI PER L'ORDINATIVO</v>
      </c>
      <c r="N7" s="1">
        <f>IF(M7="",0,1)</f>
        <v>1</v>
      </c>
    </row>
    <row r="8" spans="1:17" ht="24" thickBot="1" x14ac:dyDescent="0.4">
      <c r="A8" s="72"/>
      <c r="B8" s="223" t="s">
        <v>306</v>
      </c>
      <c r="C8" s="223"/>
      <c r="D8" s="97">
        <f>G67</f>
        <v>3090.26</v>
      </c>
      <c r="E8" s="91" t="str">
        <f>IF(Q11=0,"CONFIGURATORE OK", "")</f>
        <v/>
      </c>
      <c r="F8" s="76"/>
      <c r="G8" s="92" t="s">
        <v>400</v>
      </c>
      <c r="H8" s="73"/>
      <c r="I8" s="64"/>
      <c r="J8" s="1">
        <v>1</v>
      </c>
      <c r="L8" s="60" t="s">
        <v>312</v>
      </c>
      <c r="M8" s="125" t="str">
        <f>IF(G64&gt;D64,"!!! ATTENZIONE !!! L'IMPORTO 20% SUPERA IL VALORE MASSIMO CONSENTITO","")</f>
        <v/>
      </c>
      <c r="N8" s="1">
        <f t="shared" ref="N8:N9" si="0">IF(M8="",0,1)</f>
        <v>0</v>
      </c>
    </row>
    <row r="9" spans="1:17" ht="13.5" thickBot="1" x14ac:dyDescent="0.25">
      <c r="A9" s="79"/>
      <c r="B9" s="80"/>
      <c r="C9" s="88"/>
      <c r="D9" s="81"/>
      <c r="E9" s="81"/>
      <c r="F9" s="82"/>
      <c r="G9" s="82"/>
      <c r="H9" s="83"/>
      <c r="I9" s="64"/>
      <c r="J9" s="1">
        <v>1</v>
      </c>
      <c r="L9" s="60" t="s">
        <v>304</v>
      </c>
      <c r="M9" s="59" t="str">
        <f>""</f>
        <v/>
      </c>
      <c r="N9" s="1">
        <f t="shared" si="0"/>
        <v>0</v>
      </c>
    </row>
    <row r="10" spans="1:17" ht="13.5" thickBot="1" x14ac:dyDescent="0.25">
      <c r="A10" s="65"/>
      <c r="B10" s="66"/>
      <c r="C10" s="67"/>
      <c r="D10" s="68"/>
      <c r="E10" s="68"/>
      <c r="F10" s="69"/>
      <c r="G10" s="69"/>
      <c r="H10" s="70"/>
      <c r="I10" s="71"/>
      <c r="J10" s="1">
        <v>1</v>
      </c>
      <c r="L10" s="60" t="s">
        <v>311</v>
      </c>
      <c r="M10" s="125" t="str">
        <f>IF(N10&gt;0,"!!! ATTENZIONE !!! COMPLETARE IL CAMPO NOTE NELLE CONFIGURAZIONI","")</f>
        <v/>
      </c>
      <c r="N10" s="1">
        <f>IF(M22&gt;0,O10,0)+IF(N22&gt;0,P10,0)+IF(O22&gt;0,Q10,0)</f>
        <v>0</v>
      </c>
      <c r="O10" s="1">
        <f>IF(Lotto1_T340_1!$H$27="Specificare la configurazione RAID per l'installazione del Sistema Operativo, se richiesto.
e/o
inserire eventuali note.",1,0)</f>
        <v>0</v>
      </c>
      <c r="P10" s="1">
        <f>IF(Lotto1_T340_2!$H$27="Specificare la configurazione RAID per l'installazione del Sistema Operativo, se richiesto.
e/o
inserire eventuali note.",1,0)</f>
        <v>1</v>
      </c>
      <c r="Q10" s="1">
        <f>IF(Lotto1_T340_3!$H$27="Specificare la configurazione RAID per l'installazione del Sistema Operativo, se richiesto.
e/o
inserire eventuali note.",1,0)</f>
        <v>1</v>
      </c>
    </row>
    <row r="11" spans="1:17" ht="24" thickBot="1" x14ac:dyDescent="0.4">
      <c r="A11" s="72"/>
      <c r="B11" s="223" t="s">
        <v>290</v>
      </c>
      <c r="C11" s="223"/>
      <c r="D11" s="222"/>
      <c r="E11" s="220"/>
      <c r="F11" s="220"/>
      <c r="G11" s="221"/>
      <c r="H11" s="73"/>
      <c r="I11" s="71"/>
      <c r="J11" s="1">
        <v>1</v>
      </c>
      <c r="L11" s="1" t="s">
        <v>296</v>
      </c>
      <c r="M11" s="1">
        <f>IF(D11&gt;0,0,1)</f>
        <v>1</v>
      </c>
      <c r="O11" s="61" t="s">
        <v>305</v>
      </c>
      <c r="Q11" s="59">
        <f>N7+N9</f>
        <v>1</v>
      </c>
    </row>
    <row r="12" spans="1:17" ht="13.5" thickBot="1" x14ac:dyDescent="0.25">
      <c r="A12" s="72"/>
      <c r="B12" s="74"/>
      <c r="C12" s="75"/>
      <c r="D12" s="75"/>
      <c r="E12" s="75"/>
      <c r="F12" s="76"/>
      <c r="G12" s="76"/>
      <c r="H12" s="73"/>
      <c r="I12" s="71"/>
      <c r="J12" s="1">
        <v>1</v>
      </c>
    </row>
    <row r="13" spans="1:17" ht="24" thickBot="1" x14ac:dyDescent="0.4">
      <c r="A13" s="72"/>
      <c r="B13" s="77" t="s">
        <v>292</v>
      </c>
      <c r="C13" s="203"/>
      <c r="D13" s="78" t="s">
        <v>293</v>
      </c>
      <c r="E13" s="219"/>
      <c r="F13" s="220"/>
      <c r="G13" s="221"/>
      <c r="H13" s="73"/>
      <c r="I13" s="71"/>
      <c r="J13" s="1">
        <v>1</v>
      </c>
      <c r="L13" s="1" t="s">
        <v>297</v>
      </c>
      <c r="M13" s="1">
        <f>IF(C13&gt;0,0,1)</f>
        <v>1</v>
      </c>
      <c r="N13" s="1" t="s">
        <v>298</v>
      </c>
      <c r="O13" s="1">
        <f>IF(E13&gt;0,0,1)</f>
        <v>1</v>
      </c>
    </row>
    <row r="14" spans="1:17" ht="13.5" thickBot="1" x14ac:dyDescent="0.25">
      <c r="A14" s="79"/>
      <c r="B14" s="80"/>
      <c r="C14" s="81"/>
      <c r="D14" s="81"/>
      <c r="E14" s="81"/>
      <c r="F14" s="82"/>
      <c r="G14" s="82"/>
      <c r="H14" s="83"/>
      <c r="I14" s="71"/>
      <c r="J14" s="1">
        <v>1</v>
      </c>
    </row>
    <row r="15" spans="1:17" ht="13.5" thickBot="1" x14ac:dyDescent="0.25">
      <c r="A15" s="65"/>
      <c r="B15" s="66"/>
      <c r="C15" s="84"/>
      <c r="D15" s="85"/>
      <c r="E15" s="85"/>
      <c r="F15" s="86"/>
      <c r="G15" s="86"/>
      <c r="H15" s="70"/>
      <c r="I15" s="71"/>
      <c r="J15" s="1">
        <v>1</v>
      </c>
    </row>
    <row r="16" spans="1:17" ht="24" thickBot="1" x14ac:dyDescent="0.4">
      <c r="A16" s="72"/>
      <c r="B16" s="223" t="s">
        <v>291</v>
      </c>
      <c r="C16" s="223"/>
      <c r="D16" s="224"/>
      <c r="E16" s="225"/>
      <c r="F16" s="225"/>
      <c r="G16" s="226"/>
      <c r="H16" s="73"/>
      <c r="I16" s="71"/>
      <c r="J16" s="1">
        <v>1</v>
      </c>
      <c r="L16" s="1" t="s">
        <v>299</v>
      </c>
      <c r="M16" s="1">
        <f>IF(D16&gt;0,0,1)</f>
        <v>1</v>
      </c>
    </row>
    <row r="17" spans="1:24" ht="13.5" thickBot="1" x14ac:dyDescent="0.25">
      <c r="A17" s="72"/>
      <c r="B17" s="74"/>
      <c r="C17" s="75"/>
      <c r="D17" s="75"/>
      <c r="E17" s="75"/>
      <c r="F17" s="76"/>
      <c r="G17" s="76"/>
      <c r="H17" s="73"/>
      <c r="I17" s="71"/>
      <c r="J17" s="1">
        <v>1</v>
      </c>
    </row>
    <row r="18" spans="1:24" ht="24" thickBot="1" x14ac:dyDescent="0.4">
      <c r="A18" s="72"/>
      <c r="B18" s="77" t="s">
        <v>292</v>
      </c>
      <c r="C18" s="203"/>
      <c r="D18" s="78" t="s">
        <v>293</v>
      </c>
      <c r="E18" s="219"/>
      <c r="F18" s="220"/>
      <c r="G18" s="221"/>
      <c r="H18" s="73"/>
      <c r="I18" s="71"/>
      <c r="J18" s="1">
        <v>1</v>
      </c>
      <c r="L18" s="1" t="s">
        <v>300</v>
      </c>
      <c r="M18" s="1">
        <f>IF(C18&gt;0,0,1)</f>
        <v>1</v>
      </c>
      <c r="N18" s="1" t="s">
        <v>301</v>
      </c>
      <c r="O18" s="1">
        <f>IF(E18&gt;0,0,1)</f>
        <v>1</v>
      </c>
    </row>
    <row r="19" spans="1:24" ht="13.5" thickBot="1" x14ac:dyDescent="0.25">
      <c r="A19" s="79"/>
      <c r="B19" s="80"/>
      <c r="C19" s="81"/>
      <c r="D19" s="81"/>
      <c r="E19" s="81"/>
      <c r="F19" s="82"/>
      <c r="G19" s="82"/>
      <c r="H19" s="83"/>
      <c r="I19" s="71"/>
      <c r="J19" s="1">
        <v>1</v>
      </c>
    </row>
    <row r="20" spans="1:24" ht="13.5" thickBot="1" x14ac:dyDescent="0.25">
      <c r="A20" s="65"/>
      <c r="B20" s="66"/>
      <c r="C20" s="84"/>
      <c r="D20" s="84"/>
      <c r="E20" s="84"/>
      <c r="F20" s="69"/>
      <c r="G20" s="69"/>
      <c r="H20" s="70"/>
      <c r="I20" s="71"/>
      <c r="J20" s="1">
        <v>1</v>
      </c>
      <c r="M20" s="1" t="s">
        <v>270</v>
      </c>
      <c r="N20" s="1" t="s">
        <v>271</v>
      </c>
      <c r="O20" s="1" t="s">
        <v>272</v>
      </c>
      <c r="P20" s="1" t="s">
        <v>199</v>
      </c>
    </row>
    <row r="21" spans="1:24" ht="27" customHeight="1" thickBot="1" x14ac:dyDescent="0.25">
      <c r="A21" s="72"/>
      <c r="B21" s="216" t="s">
        <v>315</v>
      </c>
      <c r="C21" s="217"/>
      <c r="D21" s="217"/>
      <c r="E21" s="217"/>
      <c r="F21" s="217"/>
      <c r="G21" s="218"/>
      <c r="H21" s="73"/>
      <c r="I21" s="71"/>
      <c r="J21" s="1">
        <f>IF($G$63&gt;0,1,0)</f>
        <v>1</v>
      </c>
    </row>
    <row r="22" spans="1:24" ht="27" customHeight="1" thickBot="1" x14ac:dyDescent="0.25">
      <c r="A22" s="72"/>
      <c r="B22" s="96" t="s">
        <v>273</v>
      </c>
      <c r="C22" s="96" t="s">
        <v>274</v>
      </c>
      <c r="D22" s="96" t="s">
        <v>275</v>
      </c>
      <c r="E22" s="96" t="s">
        <v>276</v>
      </c>
      <c r="F22" s="96" t="s">
        <v>277</v>
      </c>
      <c r="G22" s="96" t="s">
        <v>278</v>
      </c>
      <c r="H22" s="73"/>
      <c r="I22" s="71"/>
      <c r="J22" s="1">
        <f>IF($G$63&gt;0,1,0)</f>
        <v>1</v>
      </c>
      <c r="K22" s="46" t="s">
        <v>27</v>
      </c>
      <c r="L22" s="46" t="s">
        <v>26</v>
      </c>
      <c r="M22" s="1">
        <f>Lotto1_T340_1!F5</f>
        <v>1</v>
      </c>
      <c r="N22" s="1">
        <f>Lotto1_T340_2!F5</f>
        <v>0</v>
      </c>
      <c r="O22" s="1">
        <f>Lotto1_T340_3!F5</f>
        <v>0</v>
      </c>
    </row>
    <row r="23" spans="1:24" ht="24" thickBot="1" x14ac:dyDescent="0.3">
      <c r="A23" s="72"/>
      <c r="B23" s="98">
        <f>IF(P23&gt;0,P23,"")</f>
        <v>1</v>
      </c>
      <c r="C23" s="162" t="str">
        <f>IF(B23="","",VLOOKUP(L23,Tabella_prezzi!$A$3:$J$58,9,FALSE))</f>
        <v>L1N01-ServerT340</v>
      </c>
      <c r="D23" s="99" t="str">
        <f>IF(B23="","",VLOOKUP(L23,Tabella_prezzi!$A$3:$J$58,6,FALSE))</f>
        <v>TS3L1-SRV</v>
      </c>
      <c r="E23" s="100" t="str">
        <f>IF(B23="","",VLOOKUP(L23,Tabella_prezzi!$A$3:$J$58,8,FALSE))</f>
        <v>DELL PowerEdge T340 Server</v>
      </c>
      <c r="F23" s="101">
        <f>IF(B23="","",VLOOKUP(L23,Tabella_prezzi!$A$3:$J$58,4,FALSE))</f>
        <v>1399</v>
      </c>
      <c r="G23" s="102">
        <f>IF(C23="","",F23*B23)</f>
        <v>1399</v>
      </c>
      <c r="H23" s="73"/>
      <c r="I23" s="71"/>
      <c r="J23" s="1">
        <f>IF(B23="",0,1)</f>
        <v>1</v>
      </c>
      <c r="K23" s="47" t="s">
        <v>30</v>
      </c>
      <c r="L23" s="48" t="s">
        <v>29</v>
      </c>
      <c r="M23" s="1">
        <f>COUNTIF($Q$23:$Q$53,L23)*$M$22</f>
        <v>1</v>
      </c>
      <c r="N23" s="1">
        <f>COUNTIF($S$23:$S$53,L23)*$N$22</f>
        <v>0</v>
      </c>
      <c r="O23" s="1">
        <f>COUNTIF($U$23:$U$53,L23)*$O$22</f>
        <v>0</v>
      </c>
      <c r="P23" s="1">
        <f t="shared" ref="P23:P53" si="1">SUM(M23:O23)</f>
        <v>1</v>
      </c>
      <c r="Q23" s="49" t="str">
        <f>Lotto1_T340_1!L8</f>
        <v>L1N01</v>
      </c>
      <c r="R23" s="50">
        <f>Lotto1_T340_1!F8</f>
        <v>1</v>
      </c>
      <c r="S23" s="49" t="str">
        <f>Lotto1_T340_2!L8</f>
        <v>L1N01</v>
      </c>
      <c r="T23" s="50" t="str">
        <f>Lotto1_T340_2!F8</f>
        <v/>
      </c>
      <c r="U23" s="49" t="str">
        <f>Lotto1_T340_3!L8</f>
        <v>L1N01</v>
      </c>
      <c r="V23" s="50" t="str">
        <f>Lotto1_T340_3!F8</f>
        <v/>
      </c>
      <c r="X23" t="b">
        <f>ISODD(J23)</f>
        <v>1</v>
      </c>
    </row>
    <row r="24" spans="1:24" ht="24" thickBot="1" x14ac:dyDescent="0.3">
      <c r="A24" s="72"/>
      <c r="B24" s="98">
        <f t="shared" ref="B24:B51" si="2">IF(P24&gt;0,P24,"")</f>
        <v>1</v>
      </c>
      <c r="C24" s="162" t="str">
        <f>IF(B24="","",VLOOKUP(L24,Tabella_prezzi!$A$3:$J$58,9,FALSE))</f>
        <v>L1N02-OpzRAM16GB</v>
      </c>
      <c r="D24" s="99" t="str">
        <f>IF(B24="","",VLOOKUP(L24,Tabella_prezzi!$A$3:$J$58,6,FALSE))</f>
        <v>TS3L1-RAM16</v>
      </c>
      <c r="E24" s="100" t="str">
        <f>IF(B24="","",VLOOKUP(L24,Tabella_prezzi!$A$3:$J$58,8,FALSE))</f>
        <v>16GB - 2Rx8 DDR4 UDIMM 2666MHz</v>
      </c>
      <c r="F24" s="101">
        <f>IF(B24="","",VLOOKUP(L24,Tabella_prezzi!$A$3:$J$58,4,FALSE))</f>
        <v>98</v>
      </c>
      <c r="G24" s="102">
        <f t="shared" ref="G24:G51" si="3">IF(C24="","",F24*B24)</f>
        <v>98</v>
      </c>
      <c r="H24" s="73"/>
      <c r="I24" s="71"/>
      <c r="J24" s="1">
        <f t="shared" ref="J24:J62" si="4">IF(B24="",0,1)</f>
        <v>1</v>
      </c>
      <c r="K24" s="51" t="s">
        <v>39</v>
      </c>
      <c r="L24" s="52" t="s">
        <v>38</v>
      </c>
      <c r="M24" s="1">
        <f>COUNTIF($Q$23:$Q$53,L24)*$M$22*R24</f>
        <v>1</v>
      </c>
      <c r="N24" s="1">
        <f>COUNTIF($S$23:$S$53,L24)*$N$22*T24</f>
        <v>0</v>
      </c>
      <c r="O24" s="1">
        <f>COUNTIF($U$23:$U$53,L24)*$O$22*V24</f>
        <v>0</v>
      </c>
      <c r="P24" s="1">
        <f t="shared" si="1"/>
        <v>1</v>
      </c>
      <c r="Q24" s="57" t="str">
        <f>Lotto1_T340_1!L20</f>
        <v>L1N02</v>
      </c>
      <c r="R24" s="58">
        <f>Lotto1_T340_1!F20</f>
        <v>1</v>
      </c>
      <c r="S24" s="57" t="str">
        <f>Lotto1_T340_2!L20</f>
        <v/>
      </c>
      <c r="T24" s="58">
        <f>Lotto1_T340_2!F20</f>
        <v>0</v>
      </c>
      <c r="U24" s="57" t="str">
        <f>Lotto1_T340_3!L20</f>
        <v/>
      </c>
      <c r="V24" s="58">
        <f>Lotto1_T340_3!F20</f>
        <v>0</v>
      </c>
      <c r="X24" t="b">
        <f>ISODD(SUM($J$23:J24))</f>
        <v>0</v>
      </c>
    </row>
    <row r="25" spans="1:24" ht="24" hidden="1" thickBot="1" x14ac:dyDescent="0.3">
      <c r="A25" s="72"/>
      <c r="B25" s="98" t="str">
        <f t="shared" si="2"/>
        <v/>
      </c>
      <c r="C25" s="162" t="str">
        <f>IF(B25="","",VLOOKUP(L25,Tabella_prezzi!$A$3:$J$58,9,FALSE))</f>
        <v/>
      </c>
      <c r="D25" s="99" t="str">
        <f>IF(B25="","",VLOOKUP(L25,Tabella_prezzi!$A$3:$J$58,6,FALSE))</f>
        <v/>
      </c>
      <c r="E25" s="100" t="str">
        <f>IF(B25="","",VLOOKUP(L25,Tabella_prezzi!$A$3:$J$58,8,FALSE))</f>
        <v/>
      </c>
      <c r="F25" s="101" t="str">
        <f>IF(B25="","",VLOOKUP(L25,Tabella_prezzi!$A$3:$J$58,4,FALSE))</f>
        <v/>
      </c>
      <c r="G25" s="102" t="str">
        <f t="shared" si="3"/>
        <v/>
      </c>
      <c r="H25" s="73"/>
      <c r="I25" s="71"/>
      <c r="J25" s="1">
        <f t="shared" si="4"/>
        <v>0</v>
      </c>
      <c r="K25" s="47" t="s">
        <v>111</v>
      </c>
      <c r="L25" s="48" t="s">
        <v>110</v>
      </c>
      <c r="M25" s="49">
        <f t="shared" ref="M25:M40" si="5">COUNTIF($Q$23:$Q$53,L25)*$M$22</f>
        <v>0</v>
      </c>
      <c r="N25" s="1">
        <f t="shared" ref="N25:N40" si="6">COUNTIF($S$23:$S$53,L25)*$N$22</f>
        <v>0</v>
      </c>
      <c r="O25" s="1">
        <f t="shared" ref="O25:O40" si="7">COUNTIF($U$23:$U$53,L25)*$O$22</f>
        <v>0</v>
      </c>
      <c r="P25" s="1">
        <f t="shared" si="1"/>
        <v>0</v>
      </c>
      <c r="Q25" s="49" t="str">
        <f>Lotto1_T340_1!L23</f>
        <v>L1N12</v>
      </c>
      <c r="R25" s="50">
        <f>Lotto1_T340_1!F23</f>
        <v>1</v>
      </c>
      <c r="S25" s="49" t="str">
        <f>Lotto1_T340_2!L23</f>
        <v/>
      </c>
      <c r="T25" s="50" t="str">
        <f>Lotto1_T340_2!F23</f>
        <v/>
      </c>
      <c r="U25" s="49" t="str">
        <f>Lotto1_T340_3!L23</f>
        <v/>
      </c>
      <c r="V25" s="50" t="str">
        <f>Lotto1_T340_3!F23</f>
        <v/>
      </c>
      <c r="X25" t="b">
        <f>ISODD(SUM($J$23:J25))</f>
        <v>0</v>
      </c>
    </row>
    <row r="26" spans="1:24" ht="24" hidden="1" thickBot="1" x14ac:dyDescent="0.3">
      <c r="A26" s="72"/>
      <c r="B26" s="98" t="str">
        <f t="shared" si="2"/>
        <v/>
      </c>
      <c r="C26" s="162" t="str">
        <f>IF(B26="","",VLOOKUP(L26,Tabella_prezzi!$A$3:$J$58,9,FALSE))</f>
        <v/>
      </c>
      <c r="D26" s="99" t="str">
        <f>IF(B26="","",VLOOKUP(L26,Tabella_prezzi!$A$3:$J$58,6,FALSE))</f>
        <v/>
      </c>
      <c r="E26" s="100" t="str">
        <f>IF(B26="","",VLOOKUP(L26,Tabella_prezzi!$A$3:$J$58,8,FALSE))</f>
        <v/>
      </c>
      <c r="F26" s="101" t="str">
        <f>IF(B26="","",VLOOKUP(L26,Tabella_prezzi!$A$3:$J$58,4,FALSE))</f>
        <v/>
      </c>
      <c r="G26" s="102" t="str">
        <f t="shared" si="3"/>
        <v/>
      </c>
      <c r="H26" s="73"/>
      <c r="I26" s="71"/>
      <c r="J26" s="1">
        <f t="shared" si="4"/>
        <v>0</v>
      </c>
      <c r="K26" s="51" t="s">
        <v>64</v>
      </c>
      <c r="L26" s="52" t="s">
        <v>63</v>
      </c>
      <c r="M26" s="1">
        <f t="shared" si="5"/>
        <v>0</v>
      </c>
      <c r="N26" s="1">
        <f t="shared" si="6"/>
        <v>0</v>
      </c>
      <c r="O26" s="1">
        <f t="shared" si="7"/>
        <v>0</v>
      </c>
      <c r="P26" s="1">
        <f t="shared" si="1"/>
        <v>0</v>
      </c>
      <c r="Q26" s="49" t="str">
        <f>Lotto1_T340_1!L29</f>
        <v>L1N07</v>
      </c>
      <c r="R26" s="50">
        <f>Lotto1_T340_1!F29</f>
        <v>1</v>
      </c>
      <c r="S26" s="49" t="str">
        <f>Lotto1_T340_2!L29</f>
        <v/>
      </c>
      <c r="T26" s="50" t="str">
        <f>Lotto1_T340_2!F29</f>
        <v/>
      </c>
      <c r="U26" s="49" t="str">
        <f>Lotto1_T340_3!L29</f>
        <v/>
      </c>
      <c r="V26" s="50" t="str">
        <f>Lotto1_T340_3!F29</f>
        <v/>
      </c>
      <c r="X26" t="b">
        <f>ISODD(SUM($J$23:J26))</f>
        <v>0</v>
      </c>
    </row>
    <row r="27" spans="1:24" ht="24" hidden="1" thickBot="1" x14ac:dyDescent="0.3">
      <c r="A27" s="72"/>
      <c r="B27" s="98" t="str">
        <f t="shared" si="2"/>
        <v/>
      </c>
      <c r="C27" s="162" t="str">
        <f>IF(B27="","",VLOOKUP(L27,Tabella_prezzi!$A$3:$J$58,9,FALSE))</f>
        <v/>
      </c>
      <c r="D27" s="99" t="str">
        <f>IF(B27="","",VLOOKUP(L27,Tabella_prezzi!$A$3:$J$58,6,FALSE))</f>
        <v/>
      </c>
      <c r="E27" s="100" t="str">
        <f>IF(B27="","",VLOOKUP(L27,Tabella_prezzi!$A$3:$J$58,8,FALSE))</f>
        <v/>
      </c>
      <c r="F27" s="101" t="str">
        <f>IF(B27="","",VLOOKUP(L27,Tabella_prezzi!$A$3:$J$58,4,FALSE))</f>
        <v/>
      </c>
      <c r="G27" s="102" t="str">
        <f t="shared" si="3"/>
        <v/>
      </c>
      <c r="H27" s="73"/>
      <c r="I27" s="71"/>
      <c r="J27" s="1">
        <f t="shared" si="4"/>
        <v>0</v>
      </c>
      <c r="K27" s="47" t="s">
        <v>70</v>
      </c>
      <c r="L27" s="48" t="s">
        <v>69</v>
      </c>
      <c r="M27" s="1">
        <f t="shared" si="5"/>
        <v>0</v>
      </c>
      <c r="N27" s="1">
        <f t="shared" si="6"/>
        <v>0</v>
      </c>
      <c r="O27" s="1">
        <f t="shared" si="7"/>
        <v>0</v>
      </c>
      <c r="P27" s="1">
        <f t="shared" si="1"/>
        <v>0</v>
      </c>
      <c r="Q27" s="49" t="str">
        <f>Lotto1_T340_1!L32</f>
        <v>L1N07</v>
      </c>
      <c r="R27" s="50">
        <f>Lotto1_T340_1!F32</f>
        <v>1</v>
      </c>
      <c r="S27" s="49" t="str">
        <f>Lotto1_T340_2!L32</f>
        <v/>
      </c>
      <c r="T27" s="50" t="str">
        <f>Lotto1_T340_2!F32</f>
        <v/>
      </c>
      <c r="U27" s="49" t="str">
        <f>Lotto1_T340_3!L32</f>
        <v/>
      </c>
      <c r="V27" s="50" t="str">
        <f>Lotto1_T340_3!F32</f>
        <v/>
      </c>
      <c r="X27" t="b">
        <f>ISODD(SUM($J$23:J27))</f>
        <v>0</v>
      </c>
    </row>
    <row r="28" spans="1:24" ht="24" hidden="1" thickBot="1" x14ac:dyDescent="0.3">
      <c r="A28" s="72"/>
      <c r="B28" s="98" t="str">
        <f t="shared" si="2"/>
        <v/>
      </c>
      <c r="C28" s="162" t="str">
        <f>IF(B28="","",VLOOKUP(L28,Tabella_prezzi!$A$3:$J$58,9,FALSE))</f>
        <v/>
      </c>
      <c r="D28" s="99" t="str">
        <f>IF(B28="","",VLOOKUP(L28,Tabella_prezzi!$A$3:$J$58,6,FALSE))</f>
        <v/>
      </c>
      <c r="E28" s="100" t="str">
        <f>IF(B28="","",VLOOKUP(L28,Tabella_prezzi!$A$3:$J$58,8,FALSE))</f>
        <v/>
      </c>
      <c r="F28" s="101" t="str">
        <f>IF(B28="","",VLOOKUP(L28,Tabella_prezzi!$A$3:$J$58,4,FALSE))</f>
        <v/>
      </c>
      <c r="G28" s="102" t="str">
        <f t="shared" si="3"/>
        <v/>
      </c>
      <c r="H28" s="73"/>
      <c r="I28" s="71"/>
      <c r="J28" s="1">
        <f t="shared" si="4"/>
        <v>0</v>
      </c>
      <c r="K28" s="51" t="s">
        <v>76</v>
      </c>
      <c r="L28" s="52" t="s">
        <v>75</v>
      </c>
      <c r="M28" s="1">
        <f t="shared" si="5"/>
        <v>0</v>
      </c>
      <c r="N28" s="1">
        <f t="shared" si="6"/>
        <v>0</v>
      </c>
      <c r="O28" s="1">
        <f t="shared" si="7"/>
        <v>0</v>
      </c>
      <c r="P28" s="1">
        <f t="shared" si="1"/>
        <v>0</v>
      </c>
      <c r="Q28" s="49" t="str">
        <f>Lotto1_T340_1!L35</f>
        <v/>
      </c>
      <c r="R28" s="50" t="str">
        <f>Lotto1_T340_1!F35</f>
        <v/>
      </c>
      <c r="S28" s="49" t="str">
        <f>Lotto1_T340_2!L35</f>
        <v/>
      </c>
      <c r="T28" s="50" t="str">
        <f>Lotto1_T340_2!F35</f>
        <v/>
      </c>
      <c r="U28" s="49" t="str">
        <f>Lotto1_T340_3!L35</f>
        <v/>
      </c>
      <c r="V28" s="50" t="str">
        <f>Lotto1_T340_3!F35</f>
        <v/>
      </c>
      <c r="X28" t="b">
        <f>ISODD(SUM($J$23:J28))</f>
        <v>0</v>
      </c>
    </row>
    <row r="29" spans="1:24" ht="24" thickBot="1" x14ac:dyDescent="0.3">
      <c r="A29" s="63"/>
      <c r="B29" s="98">
        <f t="shared" si="2"/>
        <v>2</v>
      </c>
      <c r="C29" s="162" t="str">
        <f>IF(B29="","",VLOOKUP(L29,Tabella_prezzi!$A$3:$J$58,9,FALSE))</f>
        <v>L1N07-OpzHDD1TB</v>
      </c>
      <c r="D29" s="99" t="str">
        <f>IF(B29="","",VLOOKUP(L29,Tabella_prezzi!$A$3:$J$58,6,FALSE))</f>
        <v>TS3L1-HDD1TB</v>
      </c>
      <c r="E29" s="100" t="str">
        <f>IF(B29="","",VLOOKUP(L29,Tabella_prezzi!$A$3:$J$58,8,FALSE))</f>
        <v>HDD 1TB 7.2K SATA 6Gbps 3.5in Hot-plug</v>
      </c>
      <c r="F29" s="101">
        <f>IF(B29="","",VLOOKUP(L29,Tabella_prezzi!$A$3:$J$58,4,FALSE))</f>
        <v>80</v>
      </c>
      <c r="G29" s="102">
        <f t="shared" si="3"/>
        <v>160</v>
      </c>
      <c r="H29" s="62"/>
      <c r="I29" s="26"/>
      <c r="J29" s="1">
        <f t="shared" si="4"/>
        <v>1</v>
      </c>
      <c r="K29" s="47" t="s">
        <v>83</v>
      </c>
      <c r="L29" s="48" t="s">
        <v>82</v>
      </c>
      <c r="M29" s="1">
        <f t="shared" si="5"/>
        <v>2</v>
      </c>
      <c r="N29" s="1">
        <f t="shared" si="6"/>
        <v>0</v>
      </c>
      <c r="O29" s="1">
        <f t="shared" si="7"/>
        <v>0</v>
      </c>
      <c r="P29" s="1">
        <f t="shared" si="1"/>
        <v>2</v>
      </c>
      <c r="Q29" s="49" t="str">
        <f>Lotto1_T340_1!L38</f>
        <v/>
      </c>
      <c r="R29" s="50" t="str">
        <f>Lotto1_T340_1!F38</f>
        <v/>
      </c>
      <c r="S29" s="49" t="str">
        <f>Lotto1_T340_2!L38</f>
        <v/>
      </c>
      <c r="T29" s="50" t="str">
        <f>Lotto1_T340_2!F38</f>
        <v/>
      </c>
      <c r="U29" s="49" t="str">
        <f>Lotto1_T340_3!L38</f>
        <v/>
      </c>
      <c r="V29" s="50" t="str">
        <f>Lotto1_T340_3!F38</f>
        <v/>
      </c>
      <c r="X29" t="b">
        <f>ISODD(SUM($J$23:J29))</f>
        <v>1</v>
      </c>
    </row>
    <row r="30" spans="1:24" ht="24" hidden="1" thickBot="1" x14ac:dyDescent="0.3">
      <c r="A30" s="72"/>
      <c r="B30" s="98" t="str">
        <f t="shared" si="2"/>
        <v/>
      </c>
      <c r="C30" s="162" t="str">
        <f>IF(B30="","",VLOOKUP(L30,Tabella_prezzi!$A$3:$J$58,9,FALSE))</f>
        <v/>
      </c>
      <c r="D30" s="99" t="str">
        <f>IF(B30="","",VLOOKUP(L30,Tabella_prezzi!$A$3:$J$58,6,FALSE))</f>
        <v/>
      </c>
      <c r="E30" s="100" t="str">
        <f>IF(B30="","",VLOOKUP(L30,Tabella_prezzi!$A$3:$J$58,8,FALSE))</f>
        <v/>
      </c>
      <c r="F30" s="101" t="str">
        <f>IF(B30="","",VLOOKUP(L30,Tabella_prezzi!$A$3:$J$58,4,FALSE))</f>
        <v/>
      </c>
      <c r="G30" s="102" t="str">
        <f t="shared" si="3"/>
        <v/>
      </c>
      <c r="H30" s="73"/>
      <c r="I30" s="71"/>
      <c r="J30" s="1">
        <f t="shared" si="4"/>
        <v>0</v>
      </c>
      <c r="K30" s="51" t="s">
        <v>88</v>
      </c>
      <c r="L30" s="52" t="s">
        <v>87</v>
      </c>
      <c r="M30" s="1">
        <f t="shared" si="5"/>
        <v>0</v>
      </c>
      <c r="N30" s="1">
        <f t="shared" si="6"/>
        <v>0</v>
      </c>
      <c r="O30" s="1">
        <f t="shared" si="7"/>
        <v>0</v>
      </c>
      <c r="P30" s="1">
        <f t="shared" si="1"/>
        <v>0</v>
      </c>
      <c r="Q30" s="49" t="str">
        <f>Lotto1_T340_1!L41</f>
        <v>L1N18</v>
      </c>
      <c r="R30" s="50">
        <f>Lotto1_T340_1!F41</f>
        <v>1</v>
      </c>
      <c r="S30" s="49" t="str">
        <f>Lotto1_T340_2!F41</f>
        <v/>
      </c>
      <c r="T30" s="50" t="str">
        <f>Lotto1_T340_2!F41</f>
        <v/>
      </c>
      <c r="U30" s="49" t="str">
        <f>Lotto1_T340_3!F41</f>
        <v/>
      </c>
      <c r="V30" s="50" t="str">
        <f>Lotto1_T340_3!F41</f>
        <v/>
      </c>
      <c r="X30" t="b">
        <f>ISODD(SUM($J$23:J30))</f>
        <v>1</v>
      </c>
    </row>
    <row r="31" spans="1:24" ht="24" hidden="1" thickBot="1" x14ac:dyDescent="0.3">
      <c r="A31" s="72"/>
      <c r="B31" s="98" t="str">
        <f t="shared" si="2"/>
        <v/>
      </c>
      <c r="C31" s="162" t="str">
        <f>IF(B31="","",VLOOKUP(L31,Tabella_prezzi!$A$3:$J$58,9,FALSE))</f>
        <v/>
      </c>
      <c r="D31" s="99" t="str">
        <f>IF(B31="","",VLOOKUP(L31,Tabella_prezzi!$A$3:$J$58,6,FALSE))</f>
        <v/>
      </c>
      <c r="E31" s="100" t="str">
        <f>IF(B31="","",VLOOKUP(L31,Tabella_prezzi!$A$3:$J$58,8,FALSE))</f>
        <v/>
      </c>
      <c r="F31" s="101" t="str">
        <f>IF(B31="","",VLOOKUP(L31,Tabella_prezzi!$A$3:$J$58,4,FALSE))</f>
        <v/>
      </c>
      <c r="G31" s="102" t="str">
        <f t="shared" si="3"/>
        <v/>
      </c>
      <c r="H31" s="73"/>
      <c r="I31" s="71"/>
      <c r="J31" s="1">
        <f t="shared" si="4"/>
        <v>0</v>
      </c>
      <c r="K31" s="47" t="s">
        <v>94</v>
      </c>
      <c r="L31" s="48" t="s">
        <v>93</v>
      </c>
      <c r="M31" s="1">
        <f t="shared" si="5"/>
        <v>0</v>
      </c>
      <c r="N31" s="1">
        <f t="shared" si="6"/>
        <v>0</v>
      </c>
      <c r="O31" s="1">
        <f t="shared" si="7"/>
        <v>0</v>
      </c>
      <c r="P31" s="1">
        <f t="shared" si="1"/>
        <v>0</v>
      </c>
      <c r="Q31" s="49" t="str">
        <f>Lotto1_T340_1!L50</f>
        <v/>
      </c>
      <c r="R31" s="50" t="str">
        <f>Lotto1_T340_1!F50</f>
        <v/>
      </c>
      <c r="S31" s="49" t="str">
        <f>Lotto1_T340_2!L50</f>
        <v/>
      </c>
      <c r="T31" s="50" t="str">
        <f>Lotto1_T340_2!F50</f>
        <v/>
      </c>
      <c r="U31" s="49" t="str">
        <f>Lotto1_T340_3!L50</f>
        <v/>
      </c>
      <c r="V31" s="50" t="str">
        <f>Lotto1_T340_3!F50</f>
        <v/>
      </c>
      <c r="X31" t="b">
        <f>ISODD(SUM($J$23:J31))</f>
        <v>1</v>
      </c>
    </row>
    <row r="32" spans="1:24" ht="24" thickBot="1" x14ac:dyDescent="0.3">
      <c r="A32" s="72"/>
      <c r="B32" s="98">
        <f t="shared" si="2"/>
        <v>1</v>
      </c>
      <c r="C32" s="162" t="str">
        <f>IF(B32="","",VLOOKUP(L32,Tabella_prezzi!$A$3:$J$58,9,FALSE))</f>
        <v>L1N10-OpzUps</v>
      </c>
      <c r="D32" s="99" t="str">
        <f>IF(B32="","",VLOOKUP(L32,Tabella_prezzi!$A$3:$J$58,6,FALSE))</f>
        <v>TS3L1-UPS</v>
      </c>
      <c r="E32" s="100" t="str">
        <f>IF(B32="","",VLOOKUP(L32,Tabella_prezzi!$A$3:$J$58,8,FALSE))</f>
        <v>Powerme Online UPS RPMM/9 3K, Tower, SNMP card</v>
      </c>
      <c r="F32" s="101">
        <f>IF(B32="","",VLOOKUP(L32,Tabella_prezzi!$A$3:$J$58,4,FALSE))</f>
        <v>302</v>
      </c>
      <c r="G32" s="102">
        <f t="shared" si="3"/>
        <v>302</v>
      </c>
      <c r="H32" s="73"/>
      <c r="I32" s="71"/>
      <c r="J32" s="1">
        <f t="shared" si="4"/>
        <v>1</v>
      </c>
      <c r="K32" s="51" t="s">
        <v>211</v>
      </c>
      <c r="L32" s="52" t="s">
        <v>210</v>
      </c>
      <c r="M32" s="1">
        <f t="shared" si="5"/>
        <v>1</v>
      </c>
      <c r="N32" s="1">
        <f t="shared" si="6"/>
        <v>0</v>
      </c>
      <c r="O32" s="1">
        <f t="shared" si="7"/>
        <v>0</v>
      </c>
      <c r="P32" s="1">
        <f t="shared" si="1"/>
        <v>1</v>
      </c>
      <c r="Q32" s="49" t="str">
        <f>Lotto1_T340_1!L53</f>
        <v/>
      </c>
      <c r="R32" s="50" t="str">
        <f>Lotto1_T340_1!F53</f>
        <v/>
      </c>
      <c r="S32" s="49" t="str">
        <f>Lotto1_T340_2!L53</f>
        <v/>
      </c>
      <c r="T32" s="50" t="str">
        <f>Lotto1_T340_2!F53</f>
        <v/>
      </c>
      <c r="U32" s="49" t="str">
        <f>Lotto1_T340_3!L53</f>
        <v/>
      </c>
      <c r="V32" s="50" t="str">
        <f>Lotto1_T340_3!F53</f>
        <v/>
      </c>
      <c r="X32" t="b">
        <f>ISODD(SUM($J$23:J32))</f>
        <v>0</v>
      </c>
    </row>
    <row r="33" spans="1:24" ht="24" hidden="1" thickBot="1" x14ac:dyDescent="0.3">
      <c r="A33" s="72"/>
      <c r="B33" s="98" t="str">
        <f t="shared" si="2"/>
        <v/>
      </c>
      <c r="C33" s="162" t="str">
        <f>IF(B33="","",VLOOKUP(L33,Tabella_prezzi!$A$3:$J$58,9,FALSE))</f>
        <v/>
      </c>
      <c r="D33" s="99" t="str">
        <f>IF(B33="","",VLOOKUP(L33,Tabella_prezzi!$A$3:$J$58,6,FALSE))</f>
        <v/>
      </c>
      <c r="E33" s="100" t="str">
        <f>IF(B33="","",VLOOKUP(L33,Tabella_prezzi!$A$3:$J$58,8,FALSE))</f>
        <v/>
      </c>
      <c r="F33" s="101" t="str">
        <f>IF(B33="","",VLOOKUP(L33,Tabella_prezzi!$A$3:$J$58,4,FALSE))</f>
        <v/>
      </c>
      <c r="G33" s="102" t="str">
        <f t="shared" si="3"/>
        <v/>
      </c>
      <c r="H33" s="73"/>
      <c r="I33" s="71"/>
      <c r="J33" s="1">
        <f t="shared" si="4"/>
        <v>0</v>
      </c>
      <c r="K33" s="47" t="s">
        <v>217</v>
      </c>
      <c r="L33" s="48" t="s">
        <v>216</v>
      </c>
      <c r="M33" s="1">
        <f t="shared" si="5"/>
        <v>0</v>
      </c>
      <c r="N33" s="1">
        <f t="shared" si="6"/>
        <v>0</v>
      </c>
      <c r="O33" s="1">
        <f t="shared" si="7"/>
        <v>0</v>
      </c>
      <c r="P33" s="1">
        <f t="shared" si="1"/>
        <v>0</v>
      </c>
      <c r="Q33" s="49" t="str">
        <f>Lotto1_T340_1!L56</f>
        <v/>
      </c>
      <c r="R33" s="50" t="str">
        <f>Lotto1_T340_1!F56</f>
        <v/>
      </c>
      <c r="S33" s="49" t="str">
        <f>Lotto1_T340_2!L56</f>
        <v/>
      </c>
      <c r="T33" s="50" t="str">
        <f>Lotto1_T340_2!F56</f>
        <v/>
      </c>
      <c r="U33" s="49" t="str">
        <f>Lotto1_T340_3!L56</f>
        <v/>
      </c>
      <c r="V33" s="50" t="str">
        <f>Lotto1_T340_3!F56</f>
        <v/>
      </c>
      <c r="X33" t="b">
        <f>ISODD(SUM($J$23:J33))</f>
        <v>0</v>
      </c>
    </row>
    <row r="34" spans="1:24" ht="24" thickBot="1" x14ac:dyDescent="0.3">
      <c r="A34" s="72"/>
      <c r="B34" s="98">
        <f t="shared" si="2"/>
        <v>1</v>
      </c>
      <c r="C34" s="162" t="str">
        <f>IF(B34="","",VLOOKUP(L34,Tabella_prezzi!$A$3:$J$58,9,FALSE))</f>
        <v>L1N12-OpzWinServESS</v>
      </c>
      <c r="D34" s="99" t="str">
        <f>IF(B34="","",VLOOKUP(L34,Tabella_prezzi!$A$3:$J$58,6,FALSE))</f>
        <v>TS3L1-WINSRVESS</v>
      </c>
      <c r="E34" s="100" t="str">
        <f>IF(B34="","",VLOOKUP(L34,Tabella_prezzi!$A$3:$J$58,8,FALSE))</f>
        <v>Windows Server 2019,Essentials, ROK</v>
      </c>
      <c r="F34" s="101">
        <f>IF(B34="","",VLOOKUP(L34,Tabella_prezzi!$A$3:$J$58,4,FALSE))</f>
        <v>256</v>
      </c>
      <c r="G34" s="102">
        <f t="shared" si="3"/>
        <v>256</v>
      </c>
      <c r="H34" s="73"/>
      <c r="I34" s="71"/>
      <c r="J34" s="1">
        <f t="shared" si="4"/>
        <v>1</v>
      </c>
      <c r="K34" s="51" t="s">
        <v>50</v>
      </c>
      <c r="L34" s="52" t="s">
        <v>49</v>
      </c>
      <c r="M34" s="1">
        <f t="shared" si="5"/>
        <v>1</v>
      </c>
      <c r="N34" s="1">
        <f t="shared" si="6"/>
        <v>0</v>
      </c>
      <c r="O34" s="1">
        <f t="shared" si="7"/>
        <v>0</v>
      </c>
      <c r="P34" s="1">
        <f t="shared" si="1"/>
        <v>1</v>
      </c>
      <c r="Q34" s="49" t="str">
        <f>Lotto1_T340_1!L59</f>
        <v/>
      </c>
      <c r="R34" s="50" t="str">
        <f>Lotto1_T340_1!F59</f>
        <v/>
      </c>
      <c r="S34" s="49" t="str">
        <f>Lotto1_T340_2!L59</f>
        <v/>
      </c>
      <c r="T34" s="50" t="str">
        <f>Lotto1_T340_2!F59</f>
        <v/>
      </c>
      <c r="U34" s="49" t="str">
        <f>Lotto1_T340_3!L59</f>
        <v/>
      </c>
      <c r="V34" s="50" t="str">
        <f>Lotto1_T340_3!F59</f>
        <v/>
      </c>
      <c r="X34" t="b">
        <f>ISODD(SUM($J$23:J34))</f>
        <v>1</v>
      </c>
    </row>
    <row r="35" spans="1:24" ht="24" hidden="1" thickBot="1" x14ac:dyDescent="0.3">
      <c r="A35" s="63"/>
      <c r="B35" s="98" t="str">
        <f t="shared" si="2"/>
        <v/>
      </c>
      <c r="C35" s="162" t="str">
        <f>IF(B35="","",VLOOKUP(L35,Tabella_prezzi!$A$3:$J$58,9,FALSE))</f>
        <v/>
      </c>
      <c r="D35" s="99" t="str">
        <f>IF(B35="","",VLOOKUP(L35,Tabella_prezzi!$A$3:$J$58,6,FALSE))</f>
        <v/>
      </c>
      <c r="E35" s="100" t="str">
        <f>IF(B35="","",VLOOKUP(L35,Tabella_prezzi!$A$3:$J$58,8,FALSE))</f>
        <v/>
      </c>
      <c r="F35" s="101" t="str">
        <f>IF(B35="","",VLOOKUP(L35,Tabella_prezzi!$A$3:$J$58,4,FALSE))</f>
        <v/>
      </c>
      <c r="G35" s="102" t="str">
        <f t="shared" si="3"/>
        <v/>
      </c>
      <c r="H35" s="62"/>
      <c r="I35" s="26"/>
      <c r="J35" s="1">
        <f t="shared" si="4"/>
        <v>0</v>
      </c>
      <c r="K35" s="47"/>
      <c r="L35" s="48" t="s">
        <v>243</v>
      </c>
      <c r="M35" s="1">
        <f t="shared" si="5"/>
        <v>0</v>
      </c>
      <c r="N35" s="1">
        <f t="shared" si="6"/>
        <v>0</v>
      </c>
      <c r="O35" s="1">
        <f t="shared" si="7"/>
        <v>0</v>
      </c>
      <c r="P35" s="1">
        <f t="shared" si="1"/>
        <v>0</v>
      </c>
      <c r="Q35" s="49" t="str">
        <f>Lotto1_T340_1!L62</f>
        <v>L1N34</v>
      </c>
      <c r="R35" s="50">
        <f>Lotto1_T340_1!F62</f>
        <v>0</v>
      </c>
      <c r="S35" s="49" t="str">
        <f>Lotto1_T340_2!L62</f>
        <v>L1N34</v>
      </c>
      <c r="T35" s="50">
        <f>Lotto1_T340_2!F62</f>
        <v>0</v>
      </c>
      <c r="U35" s="49" t="str">
        <f>Lotto1_T340_3!L62</f>
        <v>L1N34</v>
      </c>
      <c r="V35" s="50">
        <f>Lotto1_T340_3!F62</f>
        <v>0</v>
      </c>
      <c r="X35" t="b">
        <f>ISODD(SUM($J$23:J35))</f>
        <v>1</v>
      </c>
    </row>
    <row r="36" spans="1:24" ht="24" hidden="1" thickBot="1" x14ac:dyDescent="0.3">
      <c r="A36" s="63"/>
      <c r="B36" s="98" t="str">
        <f t="shared" si="2"/>
        <v/>
      </c>
      <c r="C36" s="162" t="str">
        <f>IF(B36="","",VLOOKUP(L36,Tabella_prezzi!$A$3:$J$58,9,FALSE))</f>
        <v/>
      </c>
      <c r="D36" s="99" t="str">
        <f>IF(B36="","",VLOOKUP(L36,Tabella_prezzi!$A$3:$J$58,6,FALSE))</f>
        <v/>
      </c>
      <c r="E36" s="100" t="str">
        <f>IF(B36="","",VLOOKUP(L36,Tabella_prezzi!$A$3:$J$58,8,FALSE))</f>
        <v/>
      </c>
      <c r="F36" s="101" t="str">
        <f>IF(B36="","",VLOOKUP(L36,Tabella_prezzi!$A$3:$J$58,4,FALSE))</f>
        <v/>
      </c>
      <c r="G36" s="102" t="str">
        <f t="shared" si="3"/>
        <v/>
      </c>
      <c r="H36" s="62"/>
      <c r="I36" s="26"/>
      <c r="J36" s="1">
        <f t="shared" si="4"/>
        <v>0</v>
      </c>
      <c r="K36" s="51"/>
      <c r="L36" s="52" t="s">
        <v>244</v>
      </c>
      <c r="M36" s="1">
        <f t="shared" si="5"/>
        <v>0</v>
      </c>
      <c r="N36" s="1">
        <f t="shared" si="6"/>
        <v>0</v>
      </c>
      <c r="O36" s="1">
        <f t="shared" si="7"/>
        <v>0</v>
      </c>
      <c r="P36" s="1">
        <f t="shared" si="1"/>
        <v>0</v>
      </c>
      <c r="Q36" s="49" t="str">
        <f>Lotto1_T340_1!L65</f>
        <v>L1N35</v>
      </c>
      <c r="R36" s="50">
        <f>Lotto1_T340_1!F65</f>
        <v>0</v>
      </c>
      <c r="S36" s="49" t="str">
        <f>Lotto1_T340_2!L65</f>
        <v>L1N35</v>
      </c>
      <c r="T36" s="50">
        <f>Lotto1_T340_2!F65</f>
        <v>0</v>
      </c>
      <c r="U36" s="49" t="str">
        <f>Lotto1_T340_3!L65</f>
        <v>L1N35</v>
      </c>
      <c r="V36" s="50">
        <f>Lotto1_T340_3!F65</f>
        <v>0</v>
      </c>
      <c r="X36" t="b">
        <f>ISODD(SUM($J$23:J36))</f>
        <v>1</v>
      </c>
    </row>
    <row r="37" spans="1:24" ht="24" hidden="1" thickBot="1" x14ac:dyDescent="0.3">
      <c r="A37" s="72"/>
      <c r="B37" s="98" t="str">
        <f t="shared" si="2"/>
        <v/>
      </c>
      <c r="C37" s="162" t="str">
        <f>IF(B37="","",VLOOKUP(L37,Tabella_prezzi!$A$3:$J$58,9,FALSE))</f>
        <v/>
      </c>
      <c r="D37" s="99" t="str">
        <f>IF(B37="","",VLOOKUP(L37,Tabella_prezzi!$A$3:$J$58,6,FALSE))</f>
        <v/>
      </c>
      <c r="E37" s="100" t="str">
        <f>IF(B37="","",VLOOKUP(L37,Tabella_prezzi!$A$3:$J$58,8,FALSE))</f>
        <v/>
      </c>
      <c r="F37" s="101" t="str">
        <f>IF(B37="","",VLOOKUP(L37,Tabella_prezzi!$A$3:$J$58,4,FALSE))</f>
        <v/>
      </c>
      <c r="G37" s="102" t="str">
        <f t="shared" si="3"/>
        <v/>
      </c>
      <c r="H37" s="73"/>
      <c r="I37" s="71"/>
      <c r="J37" s="1">
        <f t="shared" si="4"/>
        <v>0</v>
      </c>
      <c r="K37" s="47" t="s">
        <v>55</v>
      </c>
      <c r="L37" s="48" t="s">
        <v>54</v>
      </c>
      <c r="M37" s="1">
        <f t="shared" si="5"/>
        <v>0</v>
      </c>
      <c r="N37" s="1">
        <f t="shared" si="6"/>
        <v>0</v>
      </c>
      <c r="O37" s="1">
        <f t="shared" si="7"/>
        <v>0</v>
      </c>
      <c r="P37" s="1">
        <f t="shared" si="1"/>
        <v>0</v>
      </c>
      <c r="Q37" s="49" t="str">
        <f>Lotto1_T340_1!L66</f>
        <v>L1N36</v>
      </c>
      <c r="R37" s="50">
        <f>Lotto1_T340_1!F66</f>
        <v>0</v>
      </c>
      <c r="S37" s="49" t="str">
        <f>Lotto1_T340_2!L66</f>
        <v>L1N36</v>
      </c>
      <c r="T37" s="50">
        <f>Lotto1_T340_2!F66</f>
        <v>0</v>
      </c>
      <c r="U37" s="49" t="str">
        <f>Lotto1_T340_3!L66</f>
        <v>L1N36</v>
      </c>
      <c r="V37" s="50">
        <f>Lotto1_T340_3!F66</f>
        <v>0</v>
      </c>
      <c r="X37" t="b">
        <f>ISODD(SUM($J$23:J37))</f>
        <v>1</v>
      </c>
    </row>
    <row r="38" spans="1:24" ht="24" hidden="1" thickBot="1" x14ac:dyDescent="0.3">
      <c r="A38" s="72"/>
      <c r="B38" s="98" t="str">
        <f t="shared" si="2"/>
        <v/>
      </c>
      <c r="C38" s="162" t="str">
        <f>IF(B38="","",VLOOKUP(L38,Tabella_prezzi!$A$3:$J$58,9,FALSE))</f>
        <v/>
      </c>
      <c r="D38" s="99" t="str">
        <f>IF(B38="","",VLOOKUP(L38,Tabella_prezzi!$A$3:$J$58,6,FALSE))</f>
        <v/>
      </c>
      <c r="E38" s="100" t="str">
        <f>IF(B38="","",VLOOKUP(L38,Tabella_prezzi!$A$3:$J$58,8,FALSE))</f>
        <v/>
      </c>
      <c r="F38" s="101" t="str">
        <f>IF(B38="","",VLOOKUP(L38,Tabella_prezzi!$A$3:$J$58,4,FALSE))</f>
        <v/>
      </c>
      <c r="G38" s="102" t="str">
        <f t="shared" si="3"/>
        <v/>
      </c>
      <c r="H38" s="73"/>
      <c r="I38" s="71"/>
      <c r="J38" s="1">
        <f t="shared" si="4"/>
        <v>0</v>
      </c>
      <c r="K38" s="51" t="s">
        <v>191</v>
      </c>
      <c r="L38" s="52" t="s">
        <v>190</v>
      </c>
      <c r="M38" s="1">
        <f t="shared" si="5"/>
        <v>0</v>
      </c>
      <c r="N38" s="1">
        <f t="shared" si="6"/>
        <v>0</v>
      </c>
      <c r="O38" s="1">
        <f t="shared" si="7"/>
        <v>0</v>
      </c>
      <c r="P38" s="1">
        <f t="shared" si="1"/>
        <v>0</v>
      </c>
      <c r="Q38" s="49" t="str">
        <f>Lotto1_T340_1!L67</f>
        <v>L1N37</v>
      </c>
      <c r="R38" s="50">
        <f>Lotto1_T340_1!F67</f>
        <v>0</v>
      </c>
      <c r="S38" s="49" t="str">
        <f>Lotto1_T340_2!L67</f>
        <v>L1N37</v>
      </c>
      <c r="T38" s="50">
        <f>Lotto1_T340_2!F67</f>
        <v>0</v>
      </c>
      <c r="U38" s="49" t="str">
        <f>Lotto1_T340_3!L67</f>
        <v>L1N37</v>
      </c>
      <c r="V38" s="50">
        <f>Lotto1_T340_3!F67</f>
        <v>0</v>
      </c>
      <c r="X38" t="b">
        <f>ISODD(SUM($J$23:J38))</f>
        <v>1</v>
      </c>
    </row>
    <row r="39" spans="1:24" ht="24" thickBot="1" x14ac:dyDescent="0.3">
      <c r="A39" s="72"/>
      <c r="B39" s="98">
        <f t="shared" si="2"/>
        <v>1</v>
      </c>
      <c r="C39" s="162" t="str">
        <f>IF(B39="","",VLOOKUP(L39,Tabella_prezzi!$A$3:$J$58,9,FALSE))</f>
        <v>L1N17-OpzEstensione24</v>
      </c>
      <c r="D39" s="99" t="str">
        <f>IF(B39="","",VLOOKUP(L39,Tabella_prezzi!$A$3:$J$58,6,FALSE))</f>
        <v>TS3L1-5Y</v>
      </c>
      <c r="E39" s="100" t="str">
        <f>IF(B39="","",VLOOKUP(L39,Tabella_prezzi!$A$3:$J$58,8,FALSE))</f>
        <v>Estensione della manutenzione in garanzia per ulteriori 24 mesi</v>
      </c>
      <c r="F39" s="101">
        <f>IF(B39="","",VLOOKUP(L39,Tabella_prezzi!$A$3:$J$58,4,FALSE))</f>
        <v>79</v>
      </c>
      <c r="G39" s="102">
        <f t="shared" si="3"/>
        <v>79</v>
      </c>
      <c r="H39" s="73"/>
      <c r="I39" s="71"/>
      <c r="J39" s="1">
        <f t="shared" si="4"/>
        <v>1</v>
      </c>
      <c r="K39" s="47" t="s">
        <v>184</v>
      </c>
      <c r="L39" s="48" t="s">
        <v>183</v>
      </c>
      <c r="M39" s="1">
        <f t="shared" si="5"/>
        <v>1</v>
      </c>
      <c r="N39" s="1">
        <f t="shared" si="6"/>
        <v>0</v>
      </c>
      <c r="O39" s="1">
        <f t="shared" si="7"/>
        <v>0</v>
      </c>
      <c r="P39" s="1">
        <f t="shared" si="1"/>
        <v>1</v>
      </c>
      <c r="Q39" s="57" t="str">
        <f>Lotto1_T340_1!L70</f>
        <v>L1N26</v>
      </c>
      <c r="R39" s="58">
        <f>Lotto1_T340_1!F70</f>
        <v>3</v>
      </c>
      <c r="S39" s="57" t="str">
        <f>Lotto1_T340_2!L70</f>
        <v>L1N26</v>
      </c>
      <c r="T39" s="58">
        <f>Lotto1_T340_2!F70</f>
        <v>3</v>
      </c>
      <c r="U39" s="57" t="str">
        <f>Lotto1_T340_3!L70</f>
        <v>L1N26</v>
      </c>
      <c r="V39" s="58">
        <f>Lotto1_T340_3!F70</f>
        <v>3</v>
      </c>
      <c r="X39" t="b">
        <f>ISODD(SUM($J$23:J39))</f>
        <v>0</v>
      </c>
    </row>
    <row r="40" spans="1:24" ht="24" thickBot="1" x14ac:dyDescent="0.3">
      <c r="A40" s="72"/>
      <c r="B40" s="98" t="str">
        <f t="shared" ref="B40" si="8">IF(P40&gt;0,P40,"")</f>
        <v/>
      </c>
      <c r="C40" s="162" t="str">
        <f>IF(B40="","",VLOOKUP(L40,Tabella_prezzi!$A$3:$J$58,9,FALSE))</f>
        <v/>
      </c>
      <c r="D40" s="99" t="str">
        <f>IF(B40="","",VLOOKUP(L40,Tabella_prezzi!$A$3:$J$58,6,FALSE))</f>
        <v/>
      </c>
      <c r="E40" s="100" t="str">
        <f>IF(B40="","",VLOOKUP(L40,Tabella_prezzi!$A$3:$J$58,8,FALSE))</f>
        <v/>
      </c>
      <c r="F40" s="101" t="str">
        <f>IF(B40="","",VLOOKUP(L40,Tabella_prezzi!$A$3:$J$58,4,FALSE))</f>
        <v/>
      </c>
      <c r="G40" s="102" t="str">
        <f t="shared" ref="G40" si="9">IF(C40="","",F40*B40)</f>
        <v/>
      </c>
      <c r="H40" s="73"/>
      <c r="I40" s="71"/>
      <c r="J40" s="1">
        <f t="shared" si="4"/>
        <v>0</v>
      </c>
      <c r="K40" s="51" t="s">
        <v>384</v>
      </c>
      <c r="L40" s="52" t="s">
        <v>115</v>
      </c>
      <c r="M40" s="1">
        <f t="shared" si="5"/>
        <v>0</v>
      </c>
      <c r="N40" s="1">
        <f t="shared" si="6"/>
        <v>0</v>
      </c>
      <c r="O40" s="1">
        <f t="shared" si="7"/>
        <v>0</v>
      </c>
      <c r="P40" s="1">
        <f>SUM(M40:O40)</f>
        <v>0</v>
      </c>
      <c r="Q40" s="57"/>
      <c r="R40" s="58"/>
      <c r="S40" s="57"/>
      <c r="T40" s="58"/>
      <c r="U40" s="57"/>
      <c r="V40" s="58"/>
      <c r="X40" t="b">
        <f>ISODD(SUM($J$23:J40))</f>
        <v>0</v>
      </c>
    </row>
    <row r="41" spans="1:24" ht="27" customHeight="1" thickBot="1" x14ac:dyDescent="0.3">
      <c r="A41" s="72"/>
      <c r="B41" s="213" t="s">
        <v>316</v>
      </c>
      <c r="C41" s="214"/>
      <c r="D41" s="214"/>
      <c r="E41" s="214"/>
      <c r="F41" s="214"/>
      <c r="G41" s="215"/>
      <c r="H41" s="73"/>
      <c r="I41" s="71"/>
      <c r="J41" s="1">
        <f>IF($G$64&gt;0,1,0)</f>
        <v>1</v>
      </c>
      <c r="K41" s="47"/>
      <c r="L41" s="48"/>
      <c r="Q41" s="49" t="str">
        <f>Lotto1_T340_1!L73</f>
        <v>L1N29</v>
      </c>
      <c r="R41" s="50">
        <f>Lotto1_T340_1!F73</f>
        <v>0</v>
      </c>
      <c r="S41" s="49" t="str">
        <f>Lotto1_T340_2!L73</f>
        <v>L1N29</v>
      </c>
      <c r="T41" s="50">
        <f>Lotto1_T340_2!F73</f>
        <v>0</v>
      </c>
      <c r="U41" s="49" t="str">
        <f>Lotto1_T340_3!L73</f>
        <v>L1N29</v>
      </c>
      <c r="V41" s="50">
        <f>Lotto1_T340_3!F73</f>
        <v>0</v>
      </c>
      <c r="X41"/>
    </row>
    <row r="42" spans="1:24" ht="27" customHeight="1" thickBot="1" x14ac:dyDescent="0.3">
      <c r="A42" s="72"/>
      <c r="B42" s="146" t="s">
        <v>273</v>
      </c>
      <c r="C42" s="146" t="s">
        <v>274</v>
      </c>
      <c r="D42" s="146" t="s">
        <v>275</v>
      </c>
      <c r="E42" s="146" t="s">
        <v>276</v>
      </c>
      <c r="F42" s="146" t="s">
        <v>277</v>
      </c>
      <c r="G42" s="146" t="s">
        <v>278</v>
      </c>
      <c r="H42" s="73"/>
      <c r="I42" s="71"/>
      <c r="J42" s="1">
        <f>IF($G$64&gt;0,1,0)</f>
        <v>1</v>
      </c>
      <c r="K42" s="47"/>
      <c r="L42" s="48"/>
      <c r="Q42" s="49" t="str">
        <f>Lotto1_T340_1!L74</f>
        <v>L1N30</v>
      </c>
      <c r="R42" s="50">
        <f>Lotto1_T340_1!F74</f>
        <v>0</v>
      </c>
      <c r="S42" s="49" t="str">
        <f>Lotto1_T340_2!L74</f>
        <v>L1N30</v>
      </c>
      <c r="T42" s="50">
        <f>Lotto1_T340_2!F74</f>
        <v>0</v>
      </c>
      <c r="U42" s="49" t="str">
        <f>Lotto1_T340_3!L74</f>
        <v>L1N30</v>
      </c>
      <c r="V42" s="50">
        <f>Lotto1_T340_3!F74</f>
        <v>0</v>
      </c>
      <c r="X42"/>
    </row>
    <row r="43" spans="1:24" ht="26.25" hidden="1" thickBot="1" x14ac:dyDescent="0.3">
      <c r="A43" s="72"/>
      <c r="B43" s="103">
        <f t="shared" si="2"/>
        <v>1</v>
      </c>
      <c r="C43" s="163" t="str">
        <f>IF(B43="","",VLOOKUP(L43,Tabella_prezzi!$A$3:$J$58,9,FALSE))</f>
        <v>TS3-OpzA20T340K</v>
      </c>
      <c r="D43" s="104" t="str">
        <f>IF(B43="","",VLOOKUP(L43,Tabella_prezzi!$A$3:$J$58,6,FALSE))</f>
        <v>TS3L1-PSUDVDBZL</v>
      </c>
      <c r="E43" s="105" t="str">
        <f>IF(B43="","",VLOOKUP(L43,Tabella_prezzi!$A$3:$J$58,8,FALSE))</f>
        <v>Kit per T340 composto da: Hot-plug Power Supply 495W, DVD+/-RW SATA interno, Security Bezel</v>
      </c>
      <c r="F43" s="106">
        <f>IF(B43="","",VLOOKUP(L43,Tabella_prezzi!$A$3:$J$58,4,FALSE))</f>
        <v>230</v>
      </c>
      <c r="G43" s="107">
        <f t="shared" si="3"/>
        <v>230</v>
      </c>
      <c r="H43" s="73"/>
      <c r="I43" s="71"/>
      <c r="J43" s="1">
        <f>IF(B43="",0,1)</f>
        <v>1</v>
      </c>
      <c r="K43" s="53" t="s">
        <v>393</v>
      </c>
      <c r="L43" s="54" t="s">
        <v>102</v>
      </c>
      <c r="M43" s="49">
        <f>COUNTIF($Q$23:$Q$53,L43)*$M$22</f>
        <v>1</v>
      </c>
      <c r="N43" s="1">
        <f>COUNTIF($S$23:$S$53,L43)*$N$22</f>
        <v>0</v>
      </c>
      <c r="O43" s="1">
        <f>COUNTIF($U$23:$U$53,L43)*$O$22</f>
        <v>0</v>
      </c>
      <c r="P43" s="1">
        <f t="shared" si="1"/>
        <v>1</v>
      </c>
      <c r="Q43" s="49" t="str">
        <f>Lotto1_T340_1!L75</f>
        <v>L1N31</v>
      </c>
      <c r="R43" s="50">
        <f>Lotto1_T340_1!F75</f>
        <v>0</v>
      </c>
      <c r="S43" s="49" t="str">
        <f>Lotto1_T340_2!L75</f>
        <v>L1N31</v>
      </c>
      <c r="T43" s="50">
        <f>Lotto1_T340_2!F75</f>
        <v>0</v>
      </c>
      <c r="U43" s="49" t="str">
        <f>Lotto1_T340_3!L75</f>
        <v>L1N31</v>
      </c>
      <c r="V43" s="50">
        <f>Lotto1_T340_3!F75</f>
        <v>0</v>
      </c>
      <c r="X43" t="b">
        <f>ISODD(SUM($J$23:J43))</f>
        <v>1</v>
      </c>
    </row>
    <row r="44" spans="1:24" ht="24" hidden="1" thickBot="1" x14ac:dyDescent="0.3">
      <c r="A44" s="63"/>
      <c r="B44" s="103"/>
      <c r="C44" s="163"/>
      <c r="D44" s="104"/>
      <c r="E44" s="105"/>
      <c r="F44" s="106"/>
      <c r="G44" s="107"/>
      <c r="H44" s="62"/>
      <c r="I44" s="26"/>
      <c r="J44" s="1">
        <f t="shared" si="4"/>
        <v>0</v>
      </c>
      <c r="K44" s="55" t="s">
        <v>116</v>
      </c>
      <c r="L44" s="56"/>
      <c r="Q44" s="49" t="str">
        <f>Lotto1_T340_1!L76</f>
        <v>L1N32</v>
      </c>
      <c r="R44" s="50">
        <f>Lotto1_T340_1!F76</f>
        <v>0</v>
      </c>
      <c r="S44" s="49" t="str">
        <f>Lotto1_T340_2!L76</f>
        <v>L1N32</v>
      </c>
      <c r="T44" s="50">
        <f>Lotto1_T340_2!F76</f>
        <v>0</v>
      </c>
      <c r="U44" s="49" t="str">
        <f>Lotto1_T340_3!L76</f>
        <v>L1N32</v>
      </c>
      <c r="V44" s="50">
        <f>Lotto1_T340_3!F76</f>
        <v>0</v>
      </c>
      <c r="X44" t="b">
        <f>ISODD(SUM($J$23:J44))</f>
        <v>1</v>
      </c>
    </row>
    <row r="45" spans="1:24" ht="24" hidden="1" thickBot="1" x14ac:dyDescent="0.3">
      <c r="A45" s="72"/>
      <c r="B45" s="103" t="str">
        <f t="shared" si="2"/>
        <v/>
      </c>
      <c r="C45" s="163" t="str">
        <f>IF(B45="","",VLOOKUP(L45,Tabella_prezzi!$A$3:$J$58,9,FALSE))</f>
        <v/>
      </c>
      <c r="D45" s="104" t="str">
        <f>IF(B45="","",VLOOKUP(L45,Tabella_prezzi!$A$3:$J$58,6,FALSE))</f>
        <v/>
      </c>
      <c r="E45" s="105" t="str">
        <f>IF(B45="","",VLOOKUP(L45,Tabella_prezzi!$A$3:$J$58,8,FALSE))</f>
        <v/>
      </c>
      <c r="F45" s="106" t="str">
        <f>IF(B45="","",VLOOKUP(L45,Tabella_prezzi!$A$3:$J$58,4,FALSE))</f>
        <v/>
      </c>
      <c r="G45" s="107" t="str">
        <f t="shared" si="3"/>
        <v/>
      </c>
      <c r="H45" s="73"/>
      <c r="I45" s="71"/>
      <c r="J45" s="1">
        <f t="shared" si="4"/>
        <v>0</v>
      </c>
      <c r="K45" s="53" t="s">
        <v>121</v>
      </c>
      <c r="L45" s="54" t="s">
        <v>120</v>
      </c>
      <c r="M45" s="1">
        <f t="shared" ref="M45:M50" si="10">COUNTIF($Q$23:$Q$53,L45)*$M$22</f>
        <v>0</v>
      </c>
      <c r="N45" s="1">
        <f t="shared" ref="N45:N50" si="11">COUNTIF($S$23:$S$53,L45)*$N$22</f>
        <v>0</v>
      </c>
      <c r="O45" s="1">
        <f t="shared" ref="O45:O50" si="12">COUNTIF($U$23:$U$53,L45)*$O$22</f>
        <v>0</v>
      </c>
      <c r="P45" s="1">
        <f t="shared" si="1"/>
        <v>0</v>
      </c>
      <c r="Q45" s="49" t="str">
        <f>Lotto1_T340_1!L77</f>
        <v>L1N33</v>
      </c>
      <c r="R45" s="50">
        <f>Lotto1_T340_1!F77</f>
        <v>0</v>
      </c>
      <c r="S45" s="49" t="str">
        <f>Lotto1_T340_2!L77</f>
        <v>L1N33</v>
      </c>
      <c r="T45" s="50">
        <f>Lotto1_T340_2!F77</f>
        <v>0</v>
      </c>
      <c r="U45" s="49" t="str">
        <f>Lotto1_T340_3!L77</f>
        <v>L1N33</v>
      </c>
      <c r="V45" s="50">
        <f>Lotto1_T340_3!F77</f>
        <v>0</v>
      </c>
      <c r="X45" t="b">
        <f>ISODD(SUM($J$23:J45))</f>
        <v>1</v>
      </c>
    </row>
    <row r="46" spans="1:24" ht="24" hidden="1" thickBot="1" x14ac:dyDescent="0.3">
      <c r="A46" s="63"/>
      <c r="B46" s="103" t="str">
        <f t="shared" si="2"/>
        <v/>
      </c>
      <c r="C46" s="163" t="str">
        <f>IF(B46="","",VLOOKUP(L46,Tabella_prezzi!$A$3:$J$58,9,FALSE))</f>
        <v/>
      </c>
      <c r="D46" s="104" t="str">
        <f>IF(B46="","",VLOOKUP(L46,Tabella_prezzi!$A$3:$J$58,6,FALSE))</f>
        <v/>
      </c>
      <c r="E46" s="105" t="str">
        <f>IF(B46="","",VLOOKUP(L46,Tabella_prezzi!$A$3:$J$58,8,FALSE))</f>
        <v/>
      </c>
      <c r="F46" s="106" t="str">
        <f>IF(B46="","",VLOOKUP(L46,Tabella_prezzi!$A$3:$J$58,4,FALSE))</f>
        <v/>
      </c>
      <c r="G46" s="107" t="str">
        <f t="shared" si="3"/>
        <v/>
      </c>
      <c r="H46" s="62"/>
      <c r="I46" s="26"/>
      <c r="J46" s="1">
        <f t="shared" si="4"/>
        <v>0</v>
      </c>
      <c r="K46" s="55" t="s">
        <v>126</v>
      </c>
      <c r="L46" s="56" t="s">
        <v>125</v>
      </c>
      <c r="M46" s="1">
        <f t="shared" si="10"/>
        <v>0</v>
      </c>
      <c r="N46" s="1">
        <f t="shared" si="11"/>
        <v>0</v>
      </c>
      <c r="O46" s="1">
        <f t="shared" si="12"/>
        <v>0</v>
      </c>
      <c r="P46" s="1">
        <f t="shared" si="1"/>
        <v>0</v>
      </c>
      <c r="Q46" s="49"/>
      <c r="R46" s="50" t="str">
        <f>Lotto1_T340_1!F80</f>
        <v/>
      </c>
      <c r="S46" s="49"/>
      <c r="T46" s="50" t="str">
        <f>Lotto1_T340_2!F80</f>
        <v/>
      </c>
      <c r="U46" s="49"/>
      <c r="V46" s="50">
        <f>Lotto1_T340_3!F80</f>
        <v>0</v>
      </c>
      <c r="X46" t="b">
        <f>ISODD(SUM($J$23:J46))</f>
        <v>1</v>
      </c>
    </row>
    <row r="47" spans="1:24" ht="24" hidden="1" thickBot="1" x14ac:dyDescent="0.3">
      <c r="A47" s="63"/>
      <c r="B47" s="103" t="str">
        <f t="shared" si="2"/>
        <v/>
      </c>
      <c r="C47" s="163" t="str">
        <f>IF(B47="","",VLOOKUP(L47,Tabella_prezzi!$A$3:$J$58,9,FALSE))</f>
        <v/>
      </c>
      <c r="D47" s="104" t="str">
        <f>IF(B47="","",VLOOKUP(L47,Tabella_prezzi!$A$3:$J$58,6,FALSE))</f>
        <v/>
      </c>
      <c r="E47" s="105" t="str">
        <f>IF(B47="","",VLOOKUP(L47,Tabella_prezzi!$A$3:$J$58,8,FALSE))</f>
        <v/>
      </c>
      <c r="F47" s="106" t="str">
        <f>IF(B47="","",VLOOKUP(L47,Tabella_prezzi!$A$3:$J$58,4,FALSE))</f>
        <v/>
      </c>
      <c r="G47" s="107" t="str">
        <f t="shared" si="3"/>
        <v/>
      </c>
      <c r="H47" s="62"/>
      <c r="I47" s="26"/>
      <c r="J47" s="1">
        <f t="shared" si="4"/>
        <v>0</v>
      </c>
      <c r="K47" s="53" t="s">
        <v>131</v>
      </c>
      <c r="L47" s="54" t="s">
        <v>130</v>
      </c>
      <c r="M47" s="1">
        <f t="shared" si="10"/>
        <v>0</v>
      </c>
      <c r="N47" s="1">
        <f t="shared" si="11"/>
        <v>0</v>
      </c>
      <c r="O47" s="1">
        <f t="shared" si="12"/>
        <v>0</v>
      </c>
      <c r="P47" s="1">
        <f t="shared" si="1"/>
        <v>0</v>
      </c>
      <c r="Q47" s="49"/>
      <c r="R47" s="50" t="str">
        <f>Lotto1_T340_1!F83</f>
        <v/>
      </c>
      <c r="S47" s="49"/>
      <c r="T47" s="50" t="str">
        <f>Lotto1_T340_2!F83</f>
        <v/>
      </c>
      <c r="U47" s="49"/>
      <c r="V47" s="50" t="str">
        <f>Lotto1_T340_3!F83</f>
        <v/>
      </c>
      <c r="X47" t="b">
        <f>ISODD(SUM($J$23:J47))</f>
        <v>1</v>
      </c>
    </row>
    <row r="48" spans="1:24" ht="24" hidden="1" thickBot="1" x14ac:dyDescent="0.3">
      <c r="A48" s="63"/>
      <c r="B48" s="103" t="str">
        <f t="shared" si="2"/>
        <v/>
      </c>
      <c r="C48" s="163" t="str">
        <f>IF(B48="","",VLOOKUP(L48,Tabella_prezzi!$A$3:$J$58,9,FALSE))</f>
        <v/>
      </c>
      <c r="D48" s="104" t="str">
        <f>IF(B48="","",VLOOKUP(L48,Tabella_prezzi!$A$3:$J$58,6,FALSE))</f>
        <v/>
      </c>
      <c r="E48" s="105" t="str">
        <f>IF(B48="","",VLOOKUP(L48,Tabella_prezzi!$A$3:$J$58,8,FALSE))</f>
        <v/>
      </c>
      <c r="F48" s="106" t="str">
        <f>IF(B48="","",VLOOKUP(L48,Tabella_prezzi!$A$3:$J$58,4,FALSE))</f>
        <v/>
      </c>
      <c r="G48" s="107" t="str">
        <f t="shared" si="3"/>
        <v/>
      </c>
      <c r="H48" s="62"/>
      <c r="I48" s="26"/>
      <c r="J48" s="1">
        <f t="shared" si="4"/>
        <v>0</v>
      </c>
      <c r="K48" s="55" t="s">
        <v>136</v>
      </c>
      <c r="L48" s="56" t="s">
        <v>135</v>
      </c>
      <c r="M48" s="1">
        <f t="shared" si="10"/>
        <v>0</v>
      </c>
      <c r="N48" s="1">
        <f t="shared" si="11"/>
        <v>0</v>
      </c>
      <c r="O48" s="1">
        <f t="shared" si="12"/>
        <v>0</v>
      </c>
      <c r="P48" s="1">
        <f t="shared" si="1"/>
        <v>0</v>
      </c>
      <c r="Q48" s="49" t="str">
        <f>Lotto1_T340_1!L86</f>
        <v>L1N17</v>
      </c>
      <c r="R48" s="50">
        <f>Lotto1_T340_1!F86</f>
        <v>1</v>
      </c>
      <c r="S48" s="49" t="str">
        <f>Lotto1_T340_2!L86</f>
        <v/>
      </c>
      <c r="T48" s="50" t="str">
        <f>Lotto1_T340_2!F86</f>
        <v/>
      </c>
      <c r="U48" s="49" t="str">
        <f>Lotto1_T340_3!L86</f>
        <v/>
      </c>
      <c r="V48" s="50" t="str">
        <f>Lotto1_T340_3!F86</f>
        <v/>
      </c>
      <c r="X48" t="b">
        <f>ISODD(SUM($J$23:J48))</f>
        <v>1</v>
      </c>
    </row>
    <row r="49" spans="1:24" ht="24" hidden="1" thickBot="1" x14ac:dyDescent="0.3">
      <c r="A49" s="72"/>
      <c r="B49" s="103" t="str">
        <f t="shared" si="2"/>
        <v/>
      </c>
      <c r="C49" s="163" t="str">
        <f>IF(B49="","",VLOOKUP(L49,Tabella_prezzi!$A$3:$J$58,9,FALSE))</f>
        <v/>
      </c>
      <c r="D49" s="104" t="str">
        <f>IF(B49="","",VLOOKUP(L49,Tabella_prezzi!$A$3:$J$58,6,FALSE))</f>
        <v/>
      </c>
      <c r="E49" s="105" t="str">
        <f>IF(B49="","",VLOOKUP(L49,Tabella_prezzi!$A$3:$J$58,8,FALSE))</f>
        <v/>
      </c>
      <c r="F49" s="106" t="str">
        <f>IF(B49="","",VLOOKUP(L49,Tabella_prezzi!$A$3:$J$58,4,FALSE))</f>
        <v/>
      </c>
      <c r="G49" s="107" t="str">
        <f t="shared" si="3"/>
        <v/>
      </c>
      <c r="H49" s="73"/>
      <c r="I49" s="71"/>
      <c r="J49" s="1">
        <f t="shared" si="4"/>
        <v>0</v>
      </c>
      <c r="K49" s="53" t="s">
        <v>142</v>
      </c>
      <c r="L49" s="54" t="s">
        <v>141</v>
      </c>
      <c r="M49" s="1">
        <f t="shared" si="10"/>
        <v>0</v>
      </c>
      <c r="N49" s="1">
        <f t="shared" si="11"/>
        <v>0</v>
      </c>
      <c r="O49" s="1">
        <f t="shared" si="12"/>
        <v>0</v>
      </c>
      <c r="P49" s="1">
        <f t="shared" si="1"/>
        <v>0</v>
      </c>
      <c r="Q49" s="49" t="str">
        <f>Lotto1_T340_1!L89</f>
        <v/>
      </c>
      <c r="R49" s="50" t="str">
        <f>Lotto1_T340_1!F89</f>
        <v/>
      </c>
      <c r="S49" s="49" t="str">
        <f>Lotto1_T340_2!L89</f>
        <v/>
      </c>
      <c r="T49" s="50" t="str">
        <f>Lotto1_T340_2!F89</f>
        <v/>
      </c>
      <c r="U49" s="49" t="str">
        <f>Lotto1_T340_3!L89</f>
        <v/>
      </c>
      <c r="V49" s="50" t="str">
        <f>Lotto1_T340_3!F89</f>
        <v/>
      </c>
      <c r="X49" t="b">
        <f>ISODD(SUM($J$23:J49))</f>
        <v>1</v>
      </c>
    </row>
    <row r="50" spans="1:24" ht="24" hidden="1" thickBot="1" x14ac:dyDescent="0.3">
      <c r="A50" s="72"/>
      <c r="B50" s="103" t="str">
        <f t="shared" si="2"/>
        <v/>
      </c>
      <c r="C50" s="163" t="str">
        <f>IF(B50="","",VLOOKUP(L50,Tabella_prezzi!$A$3:$J$58,9,FALSE))</f>
        <v/>
      </c>
      <c r="D50" s="104" t="str">
        <f>IF(B50="","",VLOOKUP(L50,Tabella_prezzi!$A$3:$J$58,6,FALSE))</f>
        <v/>
      </c>
      <c r="E50" s="105" t="str">
        <f>IF(B50="","",VLOOKUP(L50,Tabella_prezzi!$A$3:$J$58,8,FALSE))</f>
        <v/>
      </c>
      <c r="F50" s="106" t="str">
        <f>IF(B50="","",VLOOKUP(L50,Tabella_prezzi!$A$3:$J$58,4,FALSE))</f>
        <v/>
      </c>
      <c r="G50" s="107" t="str">
        <f t="shared" si="3"/>
        <v/>
      </c>
      <c r="H50" s="73"/>
      <c r="I50" s="71"/>
      <c r="J50" s="1">
        <f t="shared" si="4"/>
        <v>0</v>
      </c>
      <c r="K50" s="55" t="s">
        <v>148</v>
      </c>
      <c r="L50" s="56" t="s">
        <v>147</v>
      </c>
      <c r="M50" s="1">
        <f t="shared" si="10"/>
        <v>0</v>
      </c>
      <c r="N50" s="1">
        <f t="shared" si="11"/>
        <v>0</v>
      </c>
      <c r="O50" s="1">
        <f t="shared" si="12"/>
        <v>0</v>
      </c>
      <c r="P50" s="1">
        <f t="shared" si="1"/>
        <v>0</v>
      </c>
      <c r="Q50" s="49" t="str">
        <f>Lotto1_T340_1!L93</f>
        <v>L1N10</v>
      </c>
      <c r="R50" s="50">
        <f>Lotto1_T340_1!F93</f>
        <v>1</v>
      </c>
      <c r="S50" s="49" t="str">
        <f>Lotto1_T340_2!L93</f>
        <v/>
      </c>
      <c r="T50" s="50" t="str">
        <f>Lotto1_T340_2!F93</f>
        <v/>
      </c>
      <c r="U50" s="49" t="str">
        <f>Lotto1_T340_3!L93</f>
        <v/>
      </c>
      <c r="V50" s="50" t="str">
        <f>Lotto1_T340_3!F93</f>
        <v/>
      </c>
      <c r="X50" t="b">
        <f>ISODD(SUM($J$23:J50))</f>
        <v>1</v>
      </c>
    </row>
    <row r="51" spans="1:24" ht="24" thickBot="1" x14ac:dyDescent="0.3">
      <c r="A51" s="72"/>
      <c r="B51" s="103">
        <f t="shared" si="2"/>
        <v>3</v>
      </c>
      <c r="C51" s="163" t="str">
        <f>IF(B51="","",VLOOKUP(L51,Tabella_prezzi!$A$3:$J$58,9,FALSE))</f>
        <v>TS3-OpzA20RJ45</v>
      </c>
      <c r="D51" s="104" t="str">
        <f>IF(B51="","",VLOOKUP(L51,Tabella_prezzi!$A$3:$J$58,6,FALSE))</f>
        <v>TS3L1-RJ453M</v>
      </c>
      <c r="E51" s="105" t="str">
        <f>IF(B51="","",VLOOKUP(L51,Tabella_prezzi!$A$3:$J$58,8,FALSE))</f>
        <v>cavo “patch” di 3 mt RJ45 certificato per gigabit ethernet</v>
      </c>
      <c r="F51" s="106">
        <f>IF(B51="","",VLOOKUP(L51,Tabella_prezzi!$A$3:$J$58,4,FALSE))</f>
        <v>3</v>
      </c>
      <c r="G51" s="107">
        <f t="shared" si="3"/>
        <v>9</v>
      </c>
      <c r="H51" s="73"/>
      <c r="I51" s="71"/>
      <c r="J51" s="1">
        <f t="shared" si="4"/>
        <v>1</v>
      </c>
      <c r="K51" s="53" t="s">
        <v>221</v>
      </c>
      <c r="L51" s="54" t="s">
        <v>162</v>
      </c>
      <c r="M51" s="59">
        <f>R39*$M$22</f>
        <v>3</v>
      </c>
      <c r="N51" s="59">
        <f>T39*$N$22</f>
        <v>0</v>
      </c>
      <c r="O51" s="59">
        <f>V39*$O$22</f>
        <v>0</v>
      </c>
      <c r="P51" s="59">
        <f t="shared" si="1"/>
        <v>3</v>
      </c>
      <c r="Q51" s="49"/>
      <c r="R51" s="50"/>
      <c r="S51" s="49"/>
      <c r="T51" s="50"/>
      <c r="U51" s="49"/>
      <c r="V51" s="50"/>
      <c r="X51" t="b">
        <f>ISODD(SUM($J$23:J51))</f>
        <v>0</v>
      </c>
    </row>
    <row r="52" spans="1:24" ht="24" hidden="1" thickBot="1" x14ac:dyDescent="0.3">
      <c r="A52" s="72"/>
      <c r="B52" s="103" t="str">
        <f t="shared" ref="B52:B62" si="13">IF(P52&gt;0,P52,"")</f>
        <v/>
      </c>
      <c r="C52" s="163" t="str">
        <f>IF(B52="","",VLOOKUP(L52,Tabella_prezzi!$A$3:$J$58,9,FALSE))</f>
        <v/>
      </c>
      <c r="D52" s="104" t="str">
        <f>IF(B52="","",VLOOKUP(L52,Tabella_prezzi!$A$3:$J$58,6,FALSE))</f>
        <v/>
      </c>
      <c r="E52" s="105" t="str">
        <f>IF(B52="","",VLOOKUP(L52,Tabella_prezzi!$A$3:$J$58,8,FALSE))</f>
        <v/>
      </c>
      <c r="F52" s="106" t="str">
        <f>IF(B52="","",VLOOKUP(L52,Tabella_prezzi!$A$3:$J$58,4,FALSE))</f>
        <v/>
      </c>
      <c r="G52" s="107" t="str">
        <f t="shared" ref="G52:G62" si="14">IF(C52="","",F52*B52)</f>
        <v/>
      </c>
      <c r="H52" s="73"/>
      <c r="I52" s="71"/>
      <c r="J52" s="1">
        <f t="shared" si="4"/>
        <v>0</v>
      </c>
      <c r="K52" s="55" t="s">
        <v>163</v>
      </c>
      <c r="L52" s="56" t="s">
        <v>173</v>
      </c>
      <c r="M52" s="1">
        <f>COUNTIF($Q$23:$Q$53,L52)*$M$22</f>
        <v>0</v>
      </c>
      <c r="N52" s="1">
        <f>COUNTIF($S$23:$S$53,L52)*$N$22</f>
        <v>0</v>
      </c>
      <c r="O52" s="1">
        <f>COUNTIF($U$23:$U$53,L52)*$O$22</f>
        <v>0</v>
      </c>
      <c r="P52" s="1">
        <f t="shared" si="1"/>
        <v>0</v>
      </c>
      <c r="Q52" s="49"/>
      <c r="R52" s="50"/>
      <c r="S52" s="49"/>
      <c r="T52" s="50"/>
      <c r="U52" s="49"/>
      <c r="V52" s="50"/>
      <c r="X52" t="b">
        <f>ISODD(SUM($J$23:J52))</f>
        <v>0</v>
      </c>
    </row>
    <row r="53" spans="1:24" ht="24" hidden="1" thickBot="1" x14ac:dyDescent="0.3">
      <c r="A53" s="72"/>
      <c r="B53" s="103" t="str">
        <f t="shared" si="13"/>
        <v/>
      </c>
      <c r="C53" s="163" t="str">
        <f>IF(B53="","",VLOOKUP(L53,Tabella_prezzi!$A$3:$J$58,9,FALSE))</f>
        <v/>
      </c>
      <c r="D53" s="104" t="str">
        <f>IF(B53="","",VLOOKUP(L53,Tabella_prezzi!$A$3:$J$58,6,FALSE))</f>
        <v/>
      </c>
      <c r="E53" s="105" t="str">
        <f>IF(B53="","",VLOOKUP(L53,Tabella_prezzi!$A$3:$J$58,8,FALSE))</f>
        <v/>
      </c>
      <c r="F53" s="106" t="str">
        <f>IF(B53="","",VLOOKUP(L53,Tabella_prezzi!$A$3:$J$58,4,FALSE))</f>
        <v/>
      </c>
      <c r="G53" s="107" t="str">
        <f t="shared" si="14"/>
        <v/>
      </c>
      <c r="H53" s="73"/>
      <c r="I53" s="71"/>
      <c r="J53" s="1">
        <f t="shared" si="4"/>
        <v>0</v>
      </c>
      <c r="K53" s="53" t="s">
        <v>174</v>
      </c>
      <c r="L53" s="54" t="s">
        <v>247</v>
      </c>
      <c r="M53" s="1">
        <f>COUNTIF($Q$23:$Q$53,L53)*$M$22</f>
        <v>0</v>
      </c>
      <c r="N53" s="1">
        <f>COUNTIF($S$23:$S$53,L53)*$N$22</f>
        <v>0</v>
      </c>
      <c r="O53" s="1">
        <f>COUNTIF($U$23:$U$53,L53)*$O$22</f>
        <v>0</v>
      </c>
      <c r="P53" s="1">
        <f t="shared" si="1"/>
        <v>0</v>
      </c>
      <c r="Q53" s="49" t="str">
        <f>Lotto1_T340_1!L96</f>
        <v/>
      </c>
      <c r="R53" s="50" t="str">
        <f>Lotto1_T340_1!F96</f>
        <v/>
      </c>
      <c r="S53" s="49" t="str">
        <f>Lotto1_T340_2!L96</f>
        <v/>
      </c>
      <c r="T53" s="50" t="str">
        <f>Lotto1_T340_2!F96</f>
        <v/>
      </c>
      <c r="U53" s="49" t="str">
        <f>Lotto1_T340_3!L96</f>
        <v/>
      </c>
      <c r="V53" s="50" t="str">
        <f>Lotto1_T340_3!F96</f>
        <v/>
      </c>
      <c r="X53" t="b">
        <f>ISODD(SUM($J$23:J53))</f>
        <v>0</v>
      </c>
    </row>
    <row r="54" spans="1:24" ht="24" hidden="1" thickBot="1" x14ac:dyDescent="0.3">
      <c r="A54" s="72"/>
      <c r="B54" s="103" t="str">
        <f t="shared" si="13"/>
        <v/>
      </c>
      <c r="C54" s="163" t="str">
        <f>IF(B54="","",VLOOKUP(L54,Tabella_prezzi!$A$3:$J$58,9,FALSE))</f>
        <v/>
      </c>
      <c r="D54" s="104" t="str">
        <f>IF(B54="","",VLOOKUP(L54,Tabella_prezzi!$A$3:$J$58,6,FALSE))</f>
        <v/>
      </c>
      <c r="E54" s="105" t="str">
        <f>IF(B54="","",VLOOKUP(L54,Tabella_prezzi!$A$3:$J$58,8,FALSE))</f>
        <v/>
      </c>
      <c r="F54" s="106" t="str">
        <f>IF(B54="","",VLOOKUP(L54,Tabella_prezzi!$A$3:$J$58,4,FALSE))</f>
        <v/>
      </c>
      <c r="G54" s="107" t="str">
        <f t="shared" si="14"/>
        <v/>
      </c>
      <c r="H54" s="73"/>
      <c r="I54" s="71"/>
      <c r="J54" s="1">
        <f t="shared" si="4"/>
        <v>0</v>
      </c>
      <c r="K54" s="149" t="s">
        <v>326</v>
      </c>
      <c r="L54" s="43" t="s">
        <v>248</v>
      </c>
      <c r="M54" s="59">
        <f>R41*$M$22</f>
        <v>0</v>
      </c>
      <c r="N54" s="59">
        <f>T41*$N$22</f>
        <v>0</v>
      </c>
      <c r="O54" s="59">
        <f>V41*$O$22</f>
        <v>0</v>
      </c>
      <c r="P54" s="59">
        <f t="shared" ref="P54" si="15">SUM(M54:O54)</f>
        <v>0</v>
      </c>
      <c r="X54" t="b">
        <f>ISODD(SUM($J$23:J54))</f>
        <v>0</v>
      </c>
    </row>
    <row r="55" spans="1:24" ht="24" hidden="1" thickBot="1" x14ac:dyDescent="0.3">
      <c r="A55" s="72"/>
      <c r="B55" s="103" t="str">
        <f t="shared" si="13"/>
        <v/>
      </c>
      <c r="C55" s="163" t="str">
        <f>IF(B55="","",VLOOKUP(L55,Tabella_prezzi!$A$3:$J$58,9,FALSE))</f>
        <v/>
      </c>
      <c r="D55" s="104" t="str">
        <f>IF(B55="","",VLOOKUP(L55,Tabella_prezzi!$A$3:$J$58,6,FALSE))</f>
        <v/>
      </c>
      <c r="E55" s="105" t="str">
        <f>IF(B55="","",VLOOKUP(L55,Tabella_prezzi!$A$3:$J$58,8,FALSE))</f>
        <v/>
      </c>
      <c r="F55" s="106" t="str">
        <f>IF(B55="","",VLOOKUP(L55,Tabella_prezzi!$A$3:$J$58,4,FALSE))</f>
        <v/>
      </c>
      <c r="G55" s="107" t="str">
        <f t="shared" si="14"/>
        <v/>
      </c>
      <c r="H55" s="73"/>
      <c r="I55" s="71"/>
      <c r="J55" s="1">
        <f t="shared" si="4"/>
        <v>0</v>
      </c>
      <c r="K55" s="40" t="s">
        <v>328</v>
      </c>
      <c r="L55" s="39" t="s">
        <v>249</v>
      </c>
      <c r="M55" s="59">
        <f t="shared" ref="M55:M58" si="16">R42*$M$22</f>
        <v>0</v>
      </c>
      <c r="N55" s="59">
        <f t="shared" ref="N55:N58" si="17">T42*$N$22</f>
        <v>0</v>
      </c>
      <c r="O55" s="59">
        <f t="shared" ref="O55:O58" si="18">V42*$O$22</f>
        <v>0</v>
      </c>
      <c r="P55" s="59">
        <f t="shared" ref="P55:P58" si="19">SUM(M55:O55)</f>
        <v>0</v>
      </c>
      <c r="X55" t="b">
        <f>ISODD(SUM($J$23:J55))</f>
        <v>0</v>
      </c>
    </row>
    <row r="56" spans="1:24" ht="24" hidden="1" thickBot="1" x14ac:dyDescent="0.3">
      <c r="A56" s="72"/>
      <c r="B56" s="103" t="str">
        <f t="shared" si="13"/>
        <v/>
      </c>
      <c r="C56" s="163" t="str">
        <f>IF(B56="","",VLOOKUP(L56,Tabella_prezzi!$A$3:$J$58,9,FALSE))</f>
        <v/>
      </c>
      <c r="D56" s="104" t="str">
        <f>IF(B56="","",VLOOKUP(L56,Tabella_prezzi!$A$3:$J$58,6,FALSE))</f>
        <v/>
      </c>
      <c r="E56" s="105" t="str">
        <f>IF(B56="","",VLOOKUP(L56,Tabella_prezzi!$A$3:$J$58,8,FALSE))</f>
        <v/>
      </c>
      <c r="F56" s="106" t="str">
        <f>IF(B56="","",VLOOKUP(L56,Tabella_prezzi!$A$3:$J$58,4,FALSE))</f>
        <v/>
      </c>
      <c r="G56" s="107" t="str">
        <f t="shared" si="14"/>
        <v/>
      </c>
      <c r="H56" s="73"/>
      <c r="I56" s="71"/>
      <c r="J56" s="1">
        <f t="shared" si="4"/>
        <v>0</v>
      </c>
      <c r="K56" s="44" t="s">
        <v>327</v>
      </c>
      <c r="L56" s="43" t="s">
        <v>250</v>
      </c>
      <c r="M56" s="59">
        <f t="shared" si="16"/>
        <v>0</v>
      </c>
      <c r="N56" s="59">
        <f t="shared" si="17"/>
        <v>0</v>
      </c>
      <c r="O56" s="59">
        <f t="shared" si="18"/>
        <v>0</v>
      </c>
      <c r="P56" s="59">
        <f t="shared" si="19"/>
        <v>0</v>
      </c>
      <c r="X56" t="b">
        <f>ISODD(SUM($J$23:J56))</f>
        <v>0</v>
      </c>
    </row>
    <row r="57" spans="1:24" ht="24" hidden="1" thickBot="1" x14ac:dyDescent="0.3">
      <c r="A57" s="72"/>
      <c r="B57" s="103" t="str">
        <f t="shared" si="13"/>
        <v/>
      </c>
      <c r="C57" s="163" t="str">
        <f>IF(B57="","",VLOOKUP(L57,Tabella_prezzi!$A$3:$J$58,9,FALSE))</f>
        <v/>
      </c>
      <c r="D57" s="104" t="str">
        <f>IF(B57="","",VLOOKUP(L57,Tabella_prezzi!$A$3:$J$58,6,FALSE))</f>
        <v/>
      </c>
      <c r="E57" s="105" t="str">
        <f>IF(B57="","",VLOOKUP(L57,Tabella_prezzi!$A$3:$J$58,8,FALSE))</f>
        <v/>
      </c>
      <c r="F57" s="106" t="str">
        <f>IF(B57="","",VLOOKUP(L57,Tabella_prezzi!$A$3:$J$58,4,FALSE))</f>
        <v/>
      </c>
      <c r="G57" s="107" t="str">
        <f t="shared" si="14"/>
        <v/>
      </c>
      <c r="H57" s="73"/>
      <c r="I57" s="71"/>
      <c r="J57" s="1">
        <f t="shared" si="4"/>
        <v>0</v>
      </c>
      <c r="K57" s="149" t="s">
        <v>348</v>
      </c>
      <c r="L57" s="39" t="s">
        <v>251</v>
      </c>
      <c r="M57" s="59">
        <f t="shared" si="16"/>
        <v>0</v>
      </c>
      <c r="N57" s="59">
        <f t="shared" si="17"/>
        <v>0</v>
      </c>
      <c r="O57" s="59">
        <f t="shared" si="18"/>
        <v>0</v>
      </c>
      <c r="P57" s="59">
        <f t="shared" si="19"/>
        <v>0</v>
      </c>
      <c r="X57" t="b">
        <f>ISODD(SUM($J$23:J57))</f>
        <v>0</v>
      </c>
    </row>
    <row r="58" spans="1:24" ht="24" hidden="1" thickBot="1" x14ac:dyDescent="0.3">
      <c r="A58" s="72"/>
      <c r="B58" s="103" t="str">
        <f t="shared" si="13"/>
        <v/>
      </c>
      <c r="C58" s="163" t="str">
        <f>IF(B58="","",VLOOKUP(L58,Tabella_prezzi!$A$3:$J$58,9,FALSE))</f>
        <v/>
      </c>
      <c r="D58" s="104" t="str">
        <f>IF(B58="","",VLOOKUP(L58,Tabella_prezzi!$A$3:$J$58,6,FALSE))</f>
        <v/>
      </c>
      <c r="E58" s="105" t="str">
        <f>IF(B58="","",VLOOKUP(L58,Tabella_prezzi!$A$3:$J$58,8,FALSE))</f>
        <v/>
      </c>
      <c r="F58" s="106" t="str">
        <f>IF(B58="","",VLOOKUP(L58,Tabella_prezzi!$A$3:$J$58,4,FALSE))</f>
        <v/>
      </c>
      <c r="G58" s="107" t="str">
        <f t="shared" si="14"/>
        <v/>
      </c>
      <c r="H58" s="73"/>
      <c r="I58" s="71"/>
      <c r="J58" s="1">
        <f t="shared" si="4"/>
        <v>0</v>
      </c>
      <c r="K58" s="44" t="s">
        <v>329</v>
      </c>
      <c r="L58" s="43" t="s">
        <v>252</v>
      </c>
      <c r="M58" s="59">
        <f t="shared" si="16"/>
        <v>0</v>
      </c>
      <c r="N58" s="59">
        <f t="shared" si="17"/>
        <v>0</v>
      </c>
      <c r="O58" s="59">
        <f t="shared" si="18"/>
        <v>0</v>
      </c>
      <c r="P58" s="59">
        <f t="shared" si="19"/>
        <v>0</v>
      </c>
      <c r="X58" t="b">
        <f>ISODD(SUM($J$23:J58))</f>
        <v>0</v>
      </c>
    </row>
    <row r="59" spans="1:24" ht="24" hidden="1" thickBot="1" x14ac:dyDescent="0.3">
      <c r="A59" s="72"/>
      <c r="B59" s="103" t="str">
        <f t="shared" si="13"/>
        <v/>
      </c>
      <c r="C59" s="163" t="str">
        <f>IF(B59="","",VLOOKUP(L59,Tabella_prezzi!$A$3:$J$58,9,FALSE))</f>
        <v/>
      </c>
      <c r="D59" s="104" t="str">
        <f>IF(B59="","",VLOOKUP(L59,Tabella_prezzi!$A$3:$J$58,6,FALSE))</f>
        <v/>
      </c>
      <c r="E59" s="105" t="str">
        <f>IF(B59="","",VLOOKUP(L59,Tabella_prezzi!$A$3:$J$58,8,FALSE))</f>
        <v/>
      </c>
      <c r="F59" s="106" t="str">
        <f>IF(B59="","",VLOOKUP(L59,Tabella_prezzi!$A$3:$J$58,4,FALSE))</f>
        <v/>
      </c>
      <c r="G59" s="107" t="str">
        <f t="shared" si="14"/>
        <v/>
      </c>
      <c r="H59" s="73"/>
      <c r="I59" s="71"/>
      <c r="J59" s="1">
        <f t="shared" si="4"/>
        <v>0</v>
      </c>
      <c r="K59" s="40" t="s">
        <v>344</v>
      </c>
      <c r="L59" s="39" t="s">
        <v>253</v>
      </c>
      <c r="M59" s="59">
        <f>R35*$M$22</f>
        <v>0</v>
      </c>
      <c r="N59" s="59">
        <f>T35*$N$22</f>
        <v>0</v>
      </c>
      <c r="O59" s="59">
        <f>V35*$O$22</f>
        <v>0</v>
      </c>
      <c r="P59" s="59">
        <f t="shared" ref="P59" si="20">SUM(M59:O59)</f>
        <v>0</v>
      </c>
      <c r="X59" t="b">
        <f>ISODD(SUM($J$23:J59))</f>
        <v>0</v>
      </c>
    </row>
    <row r="60" spans="1:24" ht="24" hidden="1" thickBot="1" x14ac:dyDescent="0.3">
      <c r="A60" s="72"/>
      <c r="B60" s="103" t="str">
        <f t="shared" si="13"/>
        <v/>
      </c>
      <c r="C60" s="163" t="str">
        <f>IF(B60="","",VLOOKUP(L60,Tabella_prezzi!$A$3:$J$58,9,FALSE))</f>
        <v/>
      </c>
      <c r="D60" s="104" t="str">
        <f>IF(B60="","",VLOOKUP(L60,Tabella_prezzi!$A$3:$J$58,6,FALSE))</f>
        <v/>
      </c>
      <c r="E60" s="105" t="str">
        <f>IF(B60="","",VLOOKUP(L60,Tabella_prezzi!$A$3:$J$58,8,FALSE))</f>
        <v/>
      </c>
      <c r="F60" s="106" t="str">
        <f>IF(B60="","",VLOOKUP(L60,Tabella_prezzi!$A$3:$J$58,4,FALSE))</f>
        <v/>
      </c>
      <c r="G60" s="107" t="str">
        <f t="shared" si="14"/>
        <v/>
      </c>
      <c r="H60" s="73"/>
      <c r="I60" s="71"/>
      <c r="J60" s="1">
        <f t="shared" si="4"/>
        <v>0</v>
      </c>
      <c r="K60" s="44" t="s">
        <v>345</v>
      </c>
      <c r="L60" s="43" t="s">
        <v>254</v>
      </c>
      <c r="M60" s="59">
        <f>R36*$M$22</f>
        <v>0</v>
      </c>
      <c r="N60" s="59">
        <f>T36*$N$22</f>
        <v>0</v>
      </c>
      <c r="O60" s="59">
        <f>V36*$O$22</f>
        <v>0</v>
      </c>
      <c r="P60" s="59">
        <f t="shared" ref="P60:P62" si="21">SUM(M60:O60)</f>
        <v>0</v>
      </c>
      <c r="X60" t="b">
        <f>ISODD(SUM($J$23:J60))</f>
        <v>0</v>
      </c>
    </row>
    <row r="61" spans="1:24" ht="24" hidden="1" thickBot="1" x14ac:dyDescent="0.3">
      <c r="A61" s="72"/>
      <c r="B61" s="103" t="str">
        <f t="shared" si="13"/>
        <v/>
      </c>
      <c r="C61" s="163" t="str">
        <f>IF(B61="","",VLOOKUP(L61,Tabella_prezzi!$A$3:$J$58,9,FALSE))</f>
        <v/>
      </c>
      <c r="D61" s="104" t="str">
        <f>IF(B61="","",VLOOKUP(L61,Tabella_prezzi!$A$3:$J$58,6,FALSE))</f>
        <v/>
      </c>
      <c r="E61" s="105" t="str">
        <f>IF(B61="","",VLOOKUP(L61,Tabella_prezzi!$A$3:$J$58,8,FALSE))</f>
        <v/>
      </c>
      <c r="F61" s="106" t="str">
        <f>IF(B61="","",VLOOKUP(L61,Tabella_prezzi!$A$3:$J$58,4,FALSE))</f>
        <v/>
      </c>
      <c r="G61" s="107" t="str">
        <f t="shared" si="14"/>
        <v/>
      </c>
      <c r="H61" s="73"/>
      <c r="I61" s="71"/>
      <c r="J61" s="1">
        <f t="shared" si="4"/>
        <v>0</v>
      </c>
      <c r="K61" s="40" t="s">
        <v>346</v>
      </c>
      <c r="L61" s="39" t="s">
        <v>255</v>
      </c>
      <c r="M61" s="59">
        <f>R37*$M$22</f>
        <v>0</v>
      </c>
      <c r="N61" s="59">
        <f>T37*$N$22</f>
        <v>0</v>
      </c>
      <c r="O61" s="59">
        <f>V37*$O$22</f>
        <v>0</v>
      </c>
      <c r="P61" s="59">
        <f t="shared" si="21"/>
        <v>0</v>
      </c>
      <c r="X61" t="b">
        <f>ISODD(SUM($J$23:J61))</f>
        <v>0</v>
      </c>
    </row>
    <row r="62" spans="1:24" ht="24" hidden="1" thickBot="1" x14ac:dyDescent="0.3">
      <c r="A62" s="72"/>
      <c r="B62" s="103" t="str">
        <f t="shared" si="13"/>
        <v/>
      </c>
      <c r="C62" s="163" t="str">
        <f>IF(B62="","",VLOOKUP(L62,Tabella_prezzi!$A$3:$J$58,9,FALSE))</f>
        <v/>
      </c>
      <c r="D62" s="104" t="str">
        <f>IF(B62="","",VLOOKUP(L62,Tabella_prezzi!$A$3:$J$58,6,FALSE))</f>
        <v/>
      </c>
      <c r="E62" s="105" t="str">
        <f>IF(B62="","",VLOOKUP(L62,Tabella_prezzi!$A$3:$J$58,8,FALSE))</f>
        <v/>
      </c>
      <c r="F62" s="106" t="str">
        <f>IF(B62="","",VLOOKUP(L62,Tabella_prezzi!$A$3:$J$58,4,FALSE))</f>
        <v/>
      </c>
      <c r="G62" s="107" t="str">
        <f t="shared" si="14"/>
        <v/>
      </c>
      <c r="H62" s="73"/>
      <c r="I62" s="71"/>
      <c r="J62" s="1">
        <f t="shared" si="4"/>
        <v>0</v>
      </c>
      <c r="K62" s="44" t="s">
        <v>347</v>
      </c>
      <c r="L62" s="43" t="s">
        <v>256</v>
      </c>
      <c r="M62" s="59">
        <f>R38*$M$22</f>
        <v>0</v>
      </c>
      <c r="N62" s="59">
        <f>T38*$N$22</f>
        <v>0</v>
      </c>
      <c r="O62" s="59">
        <f>V38*$O$22</f>
        <v>0</v>
      </c>
      <c r="P62" s="59">
        <f t="shared" si="21"/>
        <v>0</v>
      </c>
      <c r="X62" t="b">
        <f>ISODD(SUM($J$23:J62))</f>
        <v>0</v>
      </c>
    </row>
    <row r="63" spans="1:24" ht="23.25" x14ac:dyDescent="0.2">
      <c r="A63" s="72"/>
      <c r="B63" s="232" t="s">
        <v>198</v>
      </c>
      <c r="C63" s="232"/>
      <c r="D63" s="232"/>
      <c r="E63" s="232"/>
      <c r="F63" s="232"/>
      <c r="G63" s="93">
        <f>SUM(G23:G40)</f>
        <v>2294</v>
      </c>
      <c r="H63" s="73"/>
      <c r="I63" s="71"/>
      <c r="J63" s="1">
        <f>IF(G63=0,0,1)</f>
        <v>1</v>
      </c>
    </row>
    <row r="64" spans="1:24" ht="23.25" x14ac:dyDescent="0.2">
      <c r="A64" s="72"/>
      <c r="B64" s="230" t="s">
        <v>309</v>
      </c>
      <c r="C64" s="231"/>
      <c r="D64" s="95">
        <f>G63/100*20</f>
        <v>458.8</v>
      </c>
      <c r="E64" s="228" t="s">
        <v>308</v>
      </c>
      <c r="F64" s="229"/>
      <c r="G64" s="94">
        <f>SUM(G43:G62)</f>
        <v>239</v>
      </c>
      <c r="H64" s="73"/>
      <c r="I64" s="71"/>
      <c r="J64" s="1">
        <f t="shared" ref="J64:J67" si="22">IF(G64=0,0,1)</f>
        <v>1</v>
      </c>
    </row>
    <row r="65" spans="1:10" ht="23.25" x14ac:dyDescent="0.2">
      <c r="A65" s="72"/>
      <c r="B65" s="232" t="s">
        <v>279</v>
      </c>
      <c r="C65" s="232"/>
      <c r="D65" s="232"/>
      <c r="E65" s="232"/>
      <c r="F65" s="232"/>
      <c r="G65" s="93">
        <f>G64+G63</f>
        <v>2533</v>
      </c>
      <c r="H65" s="73"/>
      <c r="I65" s="71"/>
      <c r="J65" s="1">
        <f t="shared" si="22"/>
        <v>1</v>
      </c>
    </row>
    <row r="66" spans="1:10" ht="23.25" x14ac:dyDescent="0.2">
      <c r="A66" s="72"/>
      <c r="B66" s="232" t="s">
        <v>307</v>
      </c>
      <c r="C66" s="232"/>
      <c r="D66" s="232"/>
      <c r="E66" s="232"/>
      <c r="F66" s="232"/>
      <c r="G66" s="93">
        <f>G65/100*22</f>
        <v>557.26</v>
      </c>
      <c r="H66" s="73"/>
      <c r="I66" s="71"/>
      <c r="J66" s="1">
        <f t="shared" si="22"/>
        <v>1</v>
      </c>
    </row>
    <row r="67" spans="1:10" ht="23.25" x14ac:dyDescent="0.2">
      <c r="A67" s="72"/>
      <c r="B67" s="227" t="s">
        <v>280</v>
      </c>
      <c r="C67" s="227"/>
      <c r="D67" s="227"/>
      <c r="E67" s="227"/>
      <c r="F67" s="227"/>
      <c r="G67" s="109">
        <f>G65+G66</f>
        <v>3090.26</v>
      </c>
      <c r="H67" s="73"/>
      <c r="I67" s="71"/>
      <c r="J67" s="1">
        <f t="shared" si="22"/>
        <v>1</v>
      </c>
    </row>
    <row r="68" spans="1:10" ht="13.5" thickBot="1" x14ac:dyDescent="0.25">
      <c r="A68" s="79"/>
      <c r="B68" s="88"/>
      <c r="C68" s="88"/>
      <c r="D68" s="88"/>
      <c r="E68" s="88"/>
      <c r="F68" s="88"/>
      <c r="G68" s="88"/>
      <c r="H68" s="83"/>
      <c r="I68" s="71"/>
      <c r="J68" s="1">
        <v>1</v>
      </c>
    </row>
  </sheetData>
  <sheetProtection algorithmName="SHA-512" hashValue="H063YEKnAlNsutl3wIOC6lDXIiDQqgPuNzmobiPZ+73s0Wqs55GNZYptbQiGlEAEktI123QgVSCJTm8blXvXxA==" saltValue="YbxZIRsGNOOMxpXEn8iiiw==" spinCount="100000" sheet="1" objects="1" scenarios="1"/>
  <autoFilter ref="J1:J68" xr:uid="{00000000-0009-0000-0000-000005000000}">
    <filterColumn colId="0">
      <filters>
        <filter val="1"/>
      </filters>
    </filterColumn>
  </autoFilter>
  <mergeCells count="19">
    <mergeCell ref="B67:F67"/>
    <mergeCell ref="E64:F64"/>
    <mergeCell ref="B64:C64"/>
    <mergeCell ref="B63:F63"/>
    <mergeCell ref="B65:F65"/>
    <mergeCell ref="B66:F66"/>
    <mergeCell ref="B41:G41"/>
    <mergeCell ref="B21:G21"/>
    <mergeCell ref="E18:G18"/>
    <mergeCell ref="D2:G2"/>
    <mergeCell ref="B16:C16"/>
    <mergeCell ref="D11:G11"/>
    <mergeCell ref="D16:G16"/>
    <mergeCell ref="E13:G13"/>
    <mergeCell ref="B2:C2"/>
    <mergeCell ref="B4:C4"/>
    <mergeCell ref="B6:C6"/>
    <mergeCell ref="B8:C8"/>
    <mergeCell ref="B11:C11"/>
  </mergeCells>
  <conditionalFormatting sqref="E4 E6">
    <cfRule type="expression" dxfId="7" priority="46">
      <formula>$M7=""</formula>
    </cfRule>
  </conditionalFormatting>
  <conditionalFormatting sqref="B23:G23">
    <cfRule type="expression" dxfId="6" priority="7">
      <formula>$X23=TRUE</formula>
    </cfRule>
  </conditionalFormatting>
  <conditionalFormatting sqref="B43:G43">
    <cfRule type="expression" dxfId="5" priority="5">
      <formula>$X43=TRUE</formula>
    </cfRule>
  </conditionalFormatting>
  <conditionalFormatting sqref="B44:G62">
    <cfRule type="expression" dxfId="4" priority="4">
      <formula>$X44=TRUE</formula>
    </cfRule>
  </conditionalFormatting>
  <conditionalFormatting sqref="B24:G40">
    <cfRule type="expression" dxfId="3" priority="3">
      <formula>$X24=TRUE</formula>
    </cfRule>
  </conditionalFormatting>
  <conditionalFormatting sqref="E7">
    <cfRule type="expression" dxfId="2" priority="2">
      <formula>$M10=""</formula>
    </cfRule>
  </conditionalFormatting>
  <conditionalFormatting sqref="E5">
    <cfRule type="expression" dxfId="1" priority="1">
      <formula>$M8=""</formula>
    </cfRule>
  </conditionalFormatting>
  <pageMargins left="0.23622047244094491" right="0.23622047244094491" top="0.74803149606299213" bottom="0.74803149606299213" header="0.31496062992125984" footer="0.31496062992125984"/>
  <pageSetup paperSize="9" scale="54" fitToHeight="0" orientation="portrait" verticalDpi="0" r:id="rId1"/>
  <headerFooter>
    <oddHeader>&amp;LInviare via mail a:
ordini-ts3-lotto1@converge.it&amp;RStampato il &amp;D</oddHeader>
    <oddFooter>&amp;CCopyright 2020 Converge S.p.A. -All Right Reserved&amp;RPagina &amp;P di &amp;N</oddFooter>
  </headerFooter>
  <drawing r:id="rId2"/>
  <legacyDrawing r:id="rId3"/>
  <controls>
    <mc:AlternateContent xmlns:mc="http://schemas.openxmlformats.org/markup-compatibility/2006">
      <mc:Choice Requires="x14">
        <control shapeId="4100" r:id="rId4" name="SalvaPDF">
          <controlPr defaultSize="0" print="0" disabled="1" autoLine="0" autoPict="0" r:id="rId5">
            <anchor moveWithCells="1">
              <from>
                <xdr:col>6</xdr:col>
                <xdr:colOff>85725</xdr:colOff>
                <xdr:row>4</xdr:row>
                <xdr:rowOff>76200</xdr:rowOff>
              </from>
              <to>
                <xdr:col>6</xdr:col>
                <xdr:colOff>1495425</xdr:colOff>
                <xdr:row>6</xdr:row>
                <xdr:rowOff>76200</xdr:rowOff>
              </to>
            </anchor>
          </controlPr>
        </control>
      </mc:Choice>
      <mc:Fallback>
        <control shapeId="4100" r:id="rId4" name="SalvaPDF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 filterMode="1">
    <tabColor rgb="FFC00000"/>
    <pageSetUpPr fitToPage="1"/>
  </sheetPr>
  <dimension ref="A1:Y64"/>
  <sheetViews>
    <sheetView zoomScaleNormal="100" workbookViewId="0">
      <selection activeCell="L22" sqref="L1:XFD1048576"/>
    </sheetView>
  </sheetViews>
  <sheetFormatPr defaultColWidth="0" defaultRowHeight="15" zeroHeight="1" x14ac:dyDescent="0.25"/>
  <cols>
    <col min="1" max="1" width="0.7109375" customWidth="1"/>
    <col min="2" max="2" width="6.85546875" bestFit="1" customWidth="1"/>
    <col min="3" max="3" width="31.140625" bestFit="1" customWidth="1"/>
    <col min="4" max="4" width="1.7109375" customWidth="1"/>
    <col min="5" max="5" width="6.85546875" bestFit="1" customWidth="1"/>
    <col min="6" max="6" width="31.140625" bestFit="1" customWidth="1"/>
    <col min="7" max="7" width="1.7109375" customWidth="1"/>
    <col min="8" max="8" width="6.85546875" bestFit="1" customWidth="1"/>
    <col min="9" max="9" width="31.140625" bestFit="1" customWidth="1"/>
    <col min="10" max="10" width="0.85546875" customWidth="1"/>
    <col min="11" max="11" width="0.28515625" customWidth="1"/>
    <col min="12" max="12" width="5" hidden="1" customWidth="1"/>
    <col min="13" max="14" width="1.42578125" hidden="1" customWidth="1"/>
    <col min="15" max="15" width="5" hidden="1" customWidth="1"/>
    <col min="16" max="17" width="1.42578125" hidden="1" customWidth="1"/>
    <col min="18" max="18" width="5" hidden="1" customWidth="1"/>
    <col min="19" max="20" width="1.42578125" hidden="1" customWidth="1"/>
    <col min="21" max="21" width="10.140625" hidden="1" customWidth="1"/>
    <col min="22" max="24" width="9.140625" hidden="1" customWidth="1"/>
    <col min="25" max="25" width="10" hidden="1" customWidth="1"/>
    <col min="26" max="16384" width="9.140625" hidden="1"/>
  </cols>
  <sheetData>
    <row r="1" spans="1:23" ht="15.75" thickBot="1" x14ac:dyDescent="0.3">
      <c r="A1" s="112"/>
      <c r="B1" s="113"/>
      <c r="C1" s="113"/>
      <c r="D1" s="113"/>
      <c r="E1" s="113"/>
      <c r="F1" s="113"/>
      <c r="G1" s="113"/>
      <c r="H1" s="113"/>
      <c r="I1" s="113"/>
      <c r="J1" s="114"/>
      <c r="K1" s="115"/>
      <c r="V1">
        <v>1</v>
      </c>
    </row>
    <row r="2" spans="1:23" ht="15.75" thickBot="1" x14ac:dyDescent="0.3">
      <c r="A2" s="116"/>
      <c r="B2" s="117">
        <f>Riepilogo!M22</f>
        <v>1</v>
      </c>
      <c r="C2" s="143" t="s">
        <v>283</v>
      </c>
      <c r="D2" s="144"/>
      <c r="E2" s="145">
        <f>Riepilogo!N22</f>
        <v>0</v>
      </c>
      <c r="F2" s="143" t="s">
        <v>282</v>
      </c>
      <c r="G2" s="144"/>
      <c r="H2" s="145">
        <f>Riepilogo!O22</f>
        <v>0</v>
      </c>
      <c r="I2" s="143" t="s">
        <v>281</v>
      </c>
      <c r="J2" s="118"/>
      <c r="K2" s="115"/>
      <c r="V2">
        <v>1</v>
      </c>
    </row>
    <row r="3" spans="1:23" hidden="1" x14ac:dyDescent="0.25">
      <c r="A3" s="116"/>
      <c r="B3" s="119"/>
      <c r="C3" s="71"/>
      <c r="D3" s="115"/>
      <c r="E3" s="119"/>
      <c r="F3" s="71"/>
      <c r="G3" s="115"/>
      <c r="H3" s="119"/>
      <c r="I3" s="71"/>
      <c r="J3" s="118"/>
      <c r="K3" s="115"/>
      <c r="V3">
        <f>IF($U$4&gt;0,1,0)</f>
        <v>1</v>
      </c>
    </row>
    <row r="4" spans="1:23" hidden="1" x14ac:dyDescent="0.25">
      <c r="A4" s="116"/>
      <c r="B4" s="120">
        <f>IF(Riepilogo!M23&gt;0,Riepilogo!M23/$B$2,"")</f>
        <v>1</v>
      </c>
      <c r="C4" s="121" t="str">
        <f>IF(B4="","",Riepilogo!K23)</f>
        <v>TS3L1-SRV</v>
      </c>
      <c r="D4" s="115"/>
      <c r="E4" s="120" t="str">
        <f>IF(Riepilogo!N23&gt;0,Riepilogo!N23/$E$2,"")</f>
        <v/>
      </c>
      <c r="F4" s="121" t="str">
        <f>IF(E4="","",Riepilogo!K23)</f>
        <v/>
      </c>
      <c r="G4" s="115"/>
      <c r="H4" s="120" t="str">
        <f>IF(Riepilogo!O23&gt;0,Riepilogo!O23/$H$2,"")</f>
        <v/>
      </c>
      <c r="I4" s="121" t="str">
        <f>IF(H4="","",Riepilogo!K23)</f>
        <v/>
      </c>
      <c r="J4" s="118"/>
      <c r="K4" s="115"/>
      <c r="L4">
        <f>IF(B4="",0,B4)</f>
        <v>1</v>
      </c>
      <c r="O4">
        <f>IF(E4="",0,E4)</f>
        <v>0</v>
      </c>
      <c r="R4">
        <f>IF(H4="",0,H4)</f>
        <v>0</v>
      </c>
      <c r="U4">
        <f>SUM(L4:T4)</f>
        <v>1</v>
      </c>
      <c r="V4">
        <f>IF(U4&gt;0,1,0)</f>
        <v>1</v>
      </c>
      <c r="W4" t="b">
        <f>ISODD(V4)</f>
        <v>1</v>
      </c>
    </row>
    <row r="5" spans="1:23" hidden="1" x14ac:dyDescent="0.25">
      <c r="A5" s="116"/>
      <c r="B5" s="120">
        <f>IF(Riepilogo!M24&gt;0,Riepilogo!M24/$B$2,"")</f>
        <v>1</v>
      </c>
      <c r="C5" s="121" t="str">
        <f>IF(B5="","",Riepilogo!K24)</f>
        <v>TS3L1-RAM16</v>
      </c>
      <c r="D5" s="115"/>
      <c r="E5" s="120" t="str">
        <f>IF(Riepilogo!N24&gt;0,Riepilogo!N24/$E$2,"")</f>
        <v/>
      </c>
      <c r="F5" s="121" t="str">
        <f>IF(E5="","",Riepilogo!K24)</f>
        <v/>
      </c>
      <c r="G5" s="115"/>
      <c r="H5" s="120" t="str">
        <f>IF(Riepilogo!O24&gt;0,Riepilogo!O24/$H$2,"")</f>
        <v/>
      </c>
      <c r="I5" s="121" t="str">
        <f>IF(H5="","",Riepilogo!K24)</f>
        <v/>
      </c>
      <c r="J5" s="118"/>
      <c r="K5" s="115"/>
      <c r="L5">
        <f t="shared" ref="L5:L32" si="0">IF(B5="",0,B5)</f>
        <v>1</v>
      </c>
      <c r="O5">
        <f t="shared" ref="O5:O32" si="1">IF(E5="",0,E5)</f>
        <v>0</v>
      </c>
      <c r="R5">
        <f t="shared" ref="R5:R32" si="2">IF(H5="",0,H5)</f>
        <v>0</v>
      </c>
      <c r="U5">
        <f t="shared" ref="U5:U32" si="3">SUM(L5:T5)</f>
        <v>1</v>
      </c>
      <c r="V5">
        <f t="shared" ref="V5:V32" si="4">IF(U5&gt;0,1,0)</f>
        <v>1</v>
      </c>
      <c r="W5" t="b">
        <f>ISODD(SUM($V$4:V5))</f>
        <v>0</v>
      </c>
    </row>
    <row r="6" spans="1:23" hidden="1" x14ac:dyDescent="0.25">
      <c r="A6" s="116"/>
      <c r="B6" s="120" t="str">
        <f>IF(Riepilogo!M25&gt;0,Riepilogo!M25/$B$2,"")</f>
        <v/>
      </c>
      <c r="C6" s="121" t="str">
        <f>IF(B6="","",Riepilogo!K25)</f>
        <v/>
      </c>
      <c r="D6" s="115"/>
      <c r="E6" s="120" t="str">
        <f>IF(Riepilogo!N25&gt;0,Riepilogo!N25/$E$2,"")</f>
        <v/>
      </c>
      <c r="F6" s="121" t="str">
        <f>IF(E6="","",Riepilogo!K25)</f>
        <v/>
      </c>
      <c r="G6" s="115"/>
      <c r="H6" s="120" t="str">
        <f>IF(Riepilogo!O25&gt;0,Riepilogo!O25/$H$2,"")</f>
        <v/>
      </c>
      <c r="I6" s="121" t="str">
        <f>IF(H6="","",Riepilogo!K25)</f>
        <v/>
      </c>
      <c r="J6" s="118"/>
      <c r="K6" s="115"/>
      <c r="L6">
        <f t="shared" si="0"/>
        <v>0</v>
      </c>
      <c r="O6">
        <f t="shared" si="1"/>
        <v>0</v>
      </c>
      <c r="R6">
        <f t="shared" si="2"/>
        <v>0</v>
      </c>
      <c r="U6">
        <f t="shared" si="3"/>
        <v>0</v>
      </c>
      <c r="V6">
        <f t="shared" si="4"/>
        <v>0</v>
      </c>
      <c r="W6" t="b">
        <f>ISODD(SUM($V$4:V6))</f>
        <v>0</v>
      </c>
    </row>
    <row r="7" spans="1:23" hidden="1" x14ac:dyDescent="0.25">
      <c r="A7" s="116"/>
      <c r="B7" s="120" t="str">
        <f>IF(Riepilogo!M26&gt;0,Riepilogo!M26/$B$2,"")</f>
        <v/>
      </c>
      <c r="C7" s="121" t="str">
        <f>IF(B7="","",Riepilogo!K26)</f>
        <v/>
      </c>
      <c r="D7" s="115"/>
      <c r="E7" s="120" t="str">
        <f>IF(Riepilogo!N26&gt;0,Riepilogo!N26/$E$2,"")</f>
        <v/>
      </c>
      <c r="F7" s="121" t="str">
        <f>IF(E7="","",Riepilogo!K26)</f>
        <v/>
      </c>
      <c r="G7" s="115"/>
      <c r="H7" s="120" t="str">
        <f>IF(Riepilogo!O26&gt;0,Riepilogo!O26/$H$2,"")</f>
        <v/>
      </c>
      <c r="I7" s="121" t="str">
        <f>IF(H7="","",Riepilogo!K26)</f>
        <v/>
      </c>
      <c r="J7" s="118"/>
      <c r="K7" s="115"/>
      <c r="L7">
        <f t="shared" si="0"/>
        <v>0</v>
      </c>
      <c r="O7">
        <f t="shared" si="1"/>
        <v>0</v>
      </c>
      <c r="R7">
        <f t="shared" si="2"/>
        <v>0</v>
      </c>
      <c r="U7">
        <f t="shared" si="3"/>
        <v>0</v>
      </c>
      <c r="V7">
        <f t="shared" si="4"/>
        <v>0</v>
      </c>
      <c r="W7" t="b">
        <f>ISODD(SUM($V$4:V7))</f>
        <v>0</v>
      </c>
    </row>
    <row r="8" spans="1:23" hidden="1" x14ac:dyDescent="0.25">
      <c r="A8" s="116"/>
      <c r="B8" s="120" t="str">
        <f>IF(Riepilogo!M27&gt;0,Riepilogo!M27/$B$2,"")</f>
        <v/>
      </c>
      <c r="C8" s="121" t="str">
        <f>IF(B8="","",Riepilogo!K27)</f>
        <v/>
      </c>
      <c r="D8" s="115"/>
      <c r="E8" s="120" t="str">
        <f>IF(Riepilogo!N27&gt;0,Riepilogo!N27/$E$2,"")</f>
        <v/>
      </c>
      <c r="F8" s="121" t="str">
        <f>IF(E8="","",Riepilogo!K27)</f>
        <v/>
      </c>
      <c r="G8" s="115"/>
      <c r="H8" s="120" t="str">
        <f>IF(Riepilogo!O27&gt;0,Riepilogo!O27/$H$2,"")</f>
        <v/>
      </c>
      <c r="I8" s="121" t="str">
        <f>IF(H8="","",Riepilogo!K27)</f>
        <v/>
      </c>
      <c r="J8" s="118"/>
      <c r="K8" s="115"/>
      <c r="L8">
        <f t="shared" si="0"/>
        <v>0</v>
      </c>
      <c r="O8">
        <f t="shared" si="1"/>
        <v>0</v>
      </c>
      <c r="R8">
        <f t="shared" si="2"/>
        <v>0</v>
      </c>
      <c r="U8">
        <f t="shared" si="3"/>
        <v>0</v>
      </c>
      <c r="V8">
        <f t="shared" si="4"/>
        <v>0</v>
      </c>
      <c r="W8" t="b">
        <f>ISODD(SUM($V$4:V8))</f>
        <v>0</v>
      </c>
    </row>
    <row r="9" spans="1:23" hidden="1" x14ac:dyDescent="0.25">
      <c r="A9" s="116"/>
      <c r="B9" s="120" t="str">
        <f>IF(Riepilogo!M28&gt;0,Riepilogo!M28/$B$2,"")</f>
        <v/>
      </c>
      <c r="C9" s="121" t="str">
        <f>IF(B9="","",Riepilogo!K28)</f>
        <v/>
      </c>
      <c r="D9" s="115"/>
      <c r="E9" s="120" t="str">
        <f>IF(Riepilogo!N28&gt;0,Riepilogo!N28/$E$2,"")</f>
        <v/>
      </c>
      <c r="F9" s="121" t="str">
        <f>IF(E9="","",Riepilogo!K28)</f>
        <v/>
      </c>
      <c r="G9" s="115"/>
      <c r="H9" s="120" t="str">
        <f>IF(Riepilogo!O28&gt;0,Riepilogo!O28/$H$2,"")</f>
        <v/>
      </c>
      <c r="I9" s="121" t="str">
        <f>IF(H9="","",Riepilogo!K28)</f>
        <v/>
      </c>
      <c r="J9" s="118"/>
      <c r="K9" s="115"/>
      <c r="L9">
        <f t="shared" si="0"/>
        <v>0</v>
      </c>
      <c r="O9">
        <f t="shared" si="1"/>
        <v>0</v>
      </c>
      <c r="R9">
        <f t="shared" si="2"/>
        <v>0</v>
      </c>
      <c r="U9">
        <f t="shared" si="3"/>
        <v>0</v>
      </c>
      <c r="V9">
        <f t="shared" si="4"/>
        <v>0</v>
      </c>
      <c r="W9" t="b">
        <f>ISODD(SUM($V$4:V9))</f>
        <v>0</v>
      </c>
    </row>
    <row r="10" spans="1:23" hidden="1" x14ac:dyDescent="0.25">
      <c r="A10" s="116"/>
      <c r="B10" s="120">
        <f>IF(Riepilogo!M29&gt;0,Riepilogo!M29/$B$2,"")</f>
        <v>2</v>
      </c>
      <c r="C10" s="121" t="str">
        <f>IF(B10="","",Riepilogo!K29)</f>
        <v>TS3L1-HDD1TB</v>
      </c>
      <c r="D10" s="115"/>
      <c r="E10" s="120" t="str">
        <f>IF(Riepilogo!N29&gt;0,Riepilogo!N29/$E$2,"")</f>
        <v/>
      </c>
      <c r="F10" s="121" t="str">
        <f>IF(E10="","",Riepilogo!K29)</f>
        <v/>
      </c>
      <c r="G10" s="115"/>
      <c r="H10" s="120" t="str">
        <f>IF(Riepilogo!O29&gt;0,Riepilogo!O29/$H$2,"")</f>
        <v/>
      </c>
      <c r="I10" s="121" t="str">
        <f>IF(H10="","",Riepilogo!K29)</f>
        <v/>
      </c>
      <c r="J10" s="118"/>
      <c r="K10" s="115"/>
      <c r="L10">
        <f t="shared" si="0"/>
        <v>2</v>
      </c>
      <c r="O10">
        <f t="shared" si="1"/>
        <v>0</v>
      </c>
      <c r="R10">
        <f t="shared" si="2"/>
        <v>0</v>
      </c>
      <c r="U10">
        <f t="shared" si="3"/>
        <v>2</v>
      </c>
      <c r="V10">
        <f t="shared" si="4"/>
        <v>1</v>
      </c>
      <c r="W10" t="b">
        <f>ISODD(SUM($V$4:V10))</f>
        <v>1</v>
      </c>
    </row>
    <row r="11" spans="1:23" hidden="1" x14ac:dyDescent="0.25">
      <c r="A11" s="116"/>
      <c r="B11" s="120" t="str">
        <f>IF(Riepilogo!M30&gt;0,Riepilogo!M30/$B$2,"")</f>
        <v/>
      </c>
      <c r="C11" s="121" t="str">
        <f>IF(B11="","",Riepilogo!K30)</f>
        <v/>
      </c>
      <c r="D11" s="115"/>
      <c r="E11" s="120" t="str">
        <f>IF(Riepilogo!N30&gt;0,Riepilogo!N30/$E$2,"")</f>
        <v/>
      </c>
      <c r="F11" s="121" t="str">
        <f>IF(E11="","",Riepilogo!K30)</f>
        <v/>
      </c>
      <c r="G11" s="115"/>
      <c r="H11" s="120" t="str">
        <f>IF(Riepilogo!O30&gt;0,Riepilogo!O30/$H$2,"")</f>
        <v/>
      </c>
      <c r="I11" s="121" t="str">
        <f>IF(H11="","",Riepilogo!K30)</f>
        <v/>
      </c>
      <c r="J11" s="118"/>
      <c r="K11" s="115"/>
      <c r="L11">
        <f t="shared" si="0"/>
        <v>0</v>
      </c>
      <c r="O11">
        <f t="shared" si="1"/>
        <v>0</v>
      </c>
      <c r="R11">
        <f t="shared" si="2"/>
        <v>0</v>
      </c>
      <c r="U11">
        <f t="shared" si="3"/>
        <v>0</v>
      </c>
      <c r="V11">
        <f t="shared" si="4"/>
        <v>0</v>
      </c>
      <c r="W11" t="b">
        <f>ISODD(SUM($V$4:V11))</f>
        <v>1</v>
      </c>
    </row>
    <row r="12" spans="1:23" hidden="1" x14ac:dyDescent="0.25">
      <c r="A12" s="116"/>
      <c r="B12" s="120" t="str">
        <f>IF(Riepilogo!M31&gt;0,Riepilogo!M31/$B$2,"")</f>
        <v/>
      </c>
      <c r="C12" s="121" t="str">
        <f>IF(B12="","",Riepilogo!K31)</f>
        <v/>
      </c>
      <c r="D12" s="115"/>
      <c r="E12" s="120" t="str">
        <f>IF(Riepilogo!N31&gt;0,Riepilogo!N31/$E$2,"")</f>
        <v/>
      </c>
      <c r="F12" s="121" t="str">
        <f>IF(E12="","",Riepilogo!K31)</f>
        <v/>
      </c>
      <c r="G12" s="115"/>
      <c r="H12" s="120" t="str">
        <f>IF(Riepilogo!O31&gt;0,Riepilogo!O31/$H$2,"")</f>
        <v/>
      </c>
      <c r="I12" s="121" t="str">
        <f>IF(H12="","",Riepilogo!K31)</f>
        <v/>
      </c>
      <c r="J12" s="118"/>
      <c r="K12" s="115"/>
      <c r="L12">
        <f t="shared" si="0"/>
        <v>0</v>
      </c>
      <c r="O12">
        <f t="shared" si="1"/>
        <v>0</v>
      </c>
      <c r="R12">
        <f t="shared" si="2"/>
        <v>0</v>
      </c>
      <c r="U12">
        <f t="shared" si="3"/>
        <v>0</v>
      </c>
      <c r="V12">
        <f t="shared" si="4"/>
        <v>0</v>
      </c>
      <c r="W12" t="b">
        <f>ISODD(SUM($V$4:V12))</f>
        <v>1</v>
      </c>
    </row>
    <row r="13" spans="1:23" hidden="1" x14ac:dyDescent="0.25">
      <c r="A13" s="116"/>
      <c r="B13" s="120">
        <f>IF(Riepilogo!M32&gt;0,Riepilogo!M32/$B$2,"")</f>
        <v>1</v>
      </c>
      <c r="C13" s="121" t="str">
        <f>IF(B13="","",Riepilogo!K32)</f>
        <v>TS3L1-UPS</v>
      </c>
      <c r="D13" s="115"/>
      <c r="E13" s="120" t="str">
        <f>IF(Riepilogo!N32&gt;0,Riepilogo!N32/$E$2,"")</f>
        <v/>
      </c>
      <c r="F13" s="121" t="str">
        <f>IF(E13="","",Riepilogo!K32)</f>
        <v/>
      </c>
      <c r="G13" s="115"/>
      <c r="H13" s="120" t="str">
        <f>IF(Riepilogo!O32&gt;0,Riepilogo!O32/$H$2,"")</f>
        <v/>
      </c>
      <c r="I13" s="121" t="str">
        <f>IF(H13="","",Riepilogo!K32)</f>
        <v/>
      </c>
      <c r="J13" s="118"/>
      <c r="K13" s="115"/>
      <c r="L13">
        <f t="shared" si="0"/>
        <v>1</v>
      </c>
      <c r="O13">
        <f t="shared" si="1"/>
        <v>0</v>
      </c>
      <c r="R13">
        <f t="shared" si="2"/>
        <v>0</v>
      </c>
      <c r="U13">
        <f t="shared" si="3"/>
        <v>1</v>
      </c>
      <c r="V13">
        <f t="shared" si="4"/>
        <v>1</v>
      </c>
      <c r="W13" t="b">
        <f>ISODD(SUM($V$4:V13))</f>
        <v>0</v>
      </c>
    </row>
    <row r="14" spans="1:23" hidden="1" x14ac:dyDescent="0.25">
      <c r="A14" s="116"/>
      <c r="B14" s="120" t="str">
        <f>IF(Riepilogo!M33&gt;0,Riepilogo!M33/$B$2,"")</f>
        <v/>
      </c>
      <c r="C14" s="121" t="str">
        <f>IF(B14="","",Riepilogo!K33)</f>
        <v/>
      </c>
      <c r="D14" s="115"/>
      <c r="E14" s="120" t="str">
        <f>IF(Riepilogo!N33&gt;0,Riepilogo!N33/$E$2,"")</f>
        <v/>
      </c>
      <c r="F14" s="121" t="str">
        <f>IF(E14="","",Riepilogo!K33)</f>
        <v/>
      </c>
      <c r="G14" s="115"/>
      <c r="H14" s="120" t="str">
        <f>IF(Riepilogo!O33&gt;0,Riepilogo!O33/$H$2,"")</f>
        <v/>
      </c>
      <c r="I14" s="121" t="str">
        <f>IF(H14="","",Riepilogo!K33)</f>
        <v/>
      </c>
      <c r="J14" s="118"/>
      <c r="K14" s="115"/>
      <c r="L14">
        <f t="shared" si="0"/>
        <v>0</v>
      </c>
      <c r="O14">
        <f t="shared" si="1"/>
        <v>0</v>
      </c>
      <c r="R14">
        <f t="shared" si="2"/>
        <v>0</v>
      </c>
      <c r="U14">
        <f t="shared" si="3"/>
        <v>0</v>
      </c>
      <c r="V14">
        <f t="shared" si="4"/>
        <v>0</v>
      </c>
      <c r="W14" t="b">
        <f>ISODD(SUM($V$4:V14))</f>
        <v>0</v>
      </c>
    </row>
    <row r="15" spans="1:23" hidden="1" x14ac:dyDescent="0.25">
      <c r="A15" s="116"/>
      <c r="B15" s="120">
        <f>IF(Riepilogo!M34&gt;0,Riepilogo!M34/$B$2,"")</f>
        <v>1</v>
      </c>
      <c r="C15" s="121" t="str">
        <f>IF(B15="","",Riepilogo!K34)</f>
        <v>TS3L1-WINSRVESS</v>
      </c>
      <c r="D15" s="115"/>
      <c r="E15" s="120" t="str">
        <f>IF(Riepilogo!N34&gt;0,Riepilogo!N34/$E$2,"")</f>
        <v/>
      </c>
      <c r="F15" s="121" t="str">
        <f>IF(E15="","",Riepilogo!K34)</f>
        <v/>
      </c>
      <c r="G15" s="115"/>
      <c r="H15" s="120" t="str">
        <f>IF(Riepilogo!O34&gt;0,Riepilogo!O34/$H$2,"")</f>
        <v/>
      </c>
      <c r="I15" s="121" t="str">
        <f>IF(H15="","",Riepilogo!K34)</f>
        <v/>
      </c>
      <c r="J15" s="118"/>
      <c r="K15" s="115"/>
      <c r="L15">
        <f t="shared" si="0"/>
        <v>1</v>
      </c>
      <c r="O15">
        <f t="shared" si="1"/>
        <v>0</v>
      </c>
      <c r="R15">
        <f t="shared" si="2"/>
        <v>0</v>
      </c>
      <c r="U15">
        <f t="shared" si="3"/>
        <v>1</v>
      </c>
      <c r="V15">
        <f t="shared" si="4"/>
        <v>1</v>
      </c>
      <c r="W15" t="b">
        <f>ISODD(SUM($V$4:V15))</f>
        <v>1</v>
      </c>
    </row>
    <row r="16" spans="1:23" hidden="1" x14ac:dyDescent="0.25">
      <c r="A16" s="116"/>
      <c r="B16" s="120" t="str">
        <f>IF(Riepilogo!M35&gt;0,Riepilogo!M35/$B$2,"")</f>
        <v/>
      </c>
      <c r="C16" s="121" t="str">
        <f>IF(B16="","",Riepilogo!K35)</f>
        <v/>
      </c>
      <c r="D16" s="115"/>
      <c r="E16" s="120" t="str">
        <f>IF(Riepilogo!N35&gt;0,Riepilogo!N35/$E$2,"")</f>
        <v/>
      </c>
      <c r="F16" s="121" t="str">
        <f>IF(E16="","",Riepilogo!K35)</f>
        <v/>
      </c>
      <c r="G16" s="115"/>
      <c r="H16" s="120" t="str">
        <f>IF(Riepilogo!O35&gt;0,Riepilogo!O35/$H$2,"")</f>
        <v/>
      </c>
      <c r="I16" s="121" t="str">
        <f>IF(H16="","",Riepilogo!K35)</f>
        <v/>
      </c>
      <c r="J16" s="118"/>
      <c r="K16" s="115"/>
      <c r="L16">
        <f t="shared" si="0"/>
        <v>0</v>
      </c>
      <c r="O16">
        <f t="shared" si="1"/>
        <v>0</v>
      </c>
      <c r="R16">
        <f t="shared" si="2"/>
        <v>0</v>
      </c>
      <c r="U16">
        <f t="shared" si="3"/>
        <v>0</v>
      </c>
      <c r="V16">
        <f t="shared" si="4"/>
        <v>0</v>
      </c>
      <c r="W16" t="b">
        <f>ISODD(SUM($V$4:V16))</f>
        <v>1</v>
      </c>
    </row>
    <row r="17" spans="1:24" hidden="1" x14ac:dyDescent="0.25">
      <c r="A17" s="116"/>
      <c r="B17" s="120" t="str">
        <f>IF(Riepilogo!M36&gt;0,Riepilogo!M36/$B$2,"")</f>
        <v/>
      </c>
      <c r="C17" s="121" t="str">
        <f>IF(B17="","",Riepilogo!K36)</f>
        <v/>
      </c>
      <c r="D17" s="115"/>
      <c r="E17" s="120" t="str">
        <f>IF(Riepilogo!N36&gt;0,Riepilogo!N36/$E$2,"")</f>
        <v/>
      </c>
      <c r="F17" s="121" t="str">
        <f>IF(E17="","",Riepilogo!K36)</f>
        <v/>
      </c>
      <c r="G17" s="115"/>
      <c r="H17" s="120" t="str">
        <f>IF(Riepilogo!O36&gt;0,Riepilogo!O36/$H$2,"")</f>
        <v/>
      </c>
      <c r="I17" s="121" t="str">
        <f>IF(H17="","",Riepilogo!K36)</f>
        <v/>
      </c>
      <c r="J17" s="118"/>
      <c r="K17" s="115"/>
      <c r="L17">
        <f t="shared" si="0"/>
        <v>0</v>
      </c>
      <c r="O17">
        <f t="shared" si="1"/>
        <v>0</v>
      </c>
      <c r="R17">
        <f t="shared" si="2"/>
        <v>0</v>
      </c>
      <c r="U17">
        <f t="shared" si="3"/>
        <v>0</v>
      </c>
      <c r="V17">
        <f t="shared" si="4"/>
        <v>0</v>
      </c>
      <c r="W17" t="b">
        <f>ISODD(SUM($V$4:V17))</f>
        <v>1</v>
      </c>
    </row>
    <row r="18" spans="1:24" hidden="1" x14ac:dyDescent="0.25">
      <c r="A18" s="116"/>
      <c r="B18" s="120" t="str">
        <f>IF(Riepilogo!M37&gt;0,Riepilogo!M37/$B$2,"")</f>
        <v/>
      </c>
      <c r="C18" s="121" t="str">
        <f>IF(B18="","",Riepilogo!K37)</f>
        <v/>
      </c>
      <c r="D18" s="115"/>
      <c r="E18" s="120" t="str">
        <f>IF(Riepilogo!N37&gt;0,Riepilogo!N37/$E$2,"")</f>
        <v/>
      </c>
      <c r="F18" s="121" t="str">
        <f>IF(E18="","",Riepilogo!K37)</f>
        <v/>
      </c>
      <c r="G18" s="115"/>
      <c r="H18" s="120" t="str">
        <f>IF(Riepilogo!O37&gt;0,Riepilogo!O37/$H$2,"")</f>
        <v/>
      </c>
      <c r="I18" s="121" t="str">
        <f>IF(H18="","",Riepilogo!K37)</f>
        <v/>
      </c>
      <c r="J18" s="118"/>
      <c r="K18" s="115"/>
      <c r="L18">
        <f t="shared" si="0"/>
        <v>0</v>
      </c>
      <c r="O18">
        <f t="shared" si="1"/>
        <v>0</v>
      </c>
      <c r="R18">
        <f t="shared" si="2"/>
        <v>0</v>
      </c>
      <c r="U18">
        <f t="shared" si="3"/>
        <v>0</v>
      </c>
      <c r="V18">
        <f t="shared" si="4"/>
        <v>0</v>
      </c>
      <c r="W18" t="b">
        <f>ISODD(SUM($V$4:V18))</f>
        <v>1</v>
      </c>
    </row>
    <row r="19" spans="1:24" hidden="1" x14ac:dyDescent="0.25">
      <c r="A19" s="116"/>
      <c r="B19" s="120" t="str">
        <f>IF(Riepilogo!M38&gt;0,Riepilogo!M38/$B$2,"")</f>
        <v/>
      </c>
      <c r="C19" s="121" t="str">
        <f>IF(B19="","",Riepilogo!K38)</f>
        <v/>
      </c>
      <c r="D19" s="115"/>
      <c r="E19" s="120" t="str">
        <f>IF(Riepilogo!N38&gt;0,Riepilogo!N38/$E$2,"")</f>
        <v/>
      </c>
      <c r="F19" s="121" t="str">
        <f>IF(E19="","",Riepilogo!K38)</f>
        <v/>
      </c>
      <c r="G19" s="115"/>
      <c r="H19" s="120" t="str">
        <f>IF(Riepilogo!O38&gt;0,Riepilogo!O38/$H$2,"")</f>
        <v/>
      </c>
      <c r="I19" s="121" t="str">
        <f>IF(H19="","",Riepilogo!K38)</f>
        <v/>
      </c>
      <c r="J19" s="118"/>
      <c r="K19" s="115"/>
      <c r="L19">
        <f t="shared" si="0"/>
        <v>0</v>
      </c>
      <c r="O19">
        <f t="shared" si="1"/>
        <v>0</v>
      </c>
      <c r="R19">
        <f t="shared" si="2"/>
        <v>0</v>
      </c>
      <c r="U19">
        <f t="shared" si="3"/>
        <v>0</v>
      </c>
      <c r="V19">
        <f t="shared" si="4"/>
        <v>0</v>
      </c>
      <c r="W19" t="b">
        <f>ISODD(SUM($V$4:V19))</f>
        <v>1</v>
      </c>
    </row>
    <row r="20" spans="1:24" hidden="1" x14ac:dyDescent="0.25">
      <c r="A20" s="116"/>
      <c r="B20" s="120">
        <f>IF(Riepilogo!M39&gt;0,Riepilogo!M39/$B$2,"")</f>
        <v>1</v>
      </c>
      <c r="C20" s="121" t="str">
        <f>IF(B20="","",Riepilogo!K39)</f>
        <v>TS3L1-5Y</v>
      </c>
      <c r="D20" s="115"/>
      <c r="E20" s="120" t="str">
        <f>IF(Riepilogo!N39&gt;0,Riepilogo!N39/$E$2,"")</f>
        <v/>
      </c>
      <c r="F20" s="121" t="str">
        <f>IF(E20="","",Riepilogo!K39)</f>
        <v/>
      </c>
      <c r="G20" s="115"/>
      <c r="H20" s="120" t="str">
        <f>IF(Riepilogo!O39&gt;0,Riepilogo!O39/$H$2,"")</f>
        <v/>
      </c>
      <c r="I20" s="121" t="str">
        <f>IF(H20="","",Riepilogo!K39)</f>
        <v/>
      </c>
      <c r="J20" s="118"/>
      <c r="K20" s="115"/>
      <c r="L20">
        <f t="shared" si="0"/>
        <v>1</v>
      </c>
      <c r="O20">
        <f t="shared" si="1"/>
        <v>0</v>
      </c>
      <c r="R20">
        <f t="shared" si="2"/>
        <v>0</v>
      </c>
      <c r="U20">
        <f t="shared" si="3"/>
        <v>1</v>
      </c>
      <c r="V20">
        <f t="shared" si="4"/>
        <v>1</v>
      </c>
      <c r="W20" t="b">
        <f>ISODD(SUM($V$4:V20))</f>
        <v>0</v>
      </c>
    </row>
    <row r="21" spans="1:24" hidden="1" x14ac:dyDescent="0.25">
      <c r="A21" s="116"/>
      <c r="B21" s="120" t="str">
        <f>IF(Riepilogo!M40&gt;0,Riepilogo!M40/$B$2,"")</f>
        <v/>
      </c>
      <c r="C21" s="121" t="str">
        <f>IF(B21="","",Riepilogo!K40)</f>
        <v/>
      </c>
      <c r="D21" s="115"/>
      <c r="E21" s="120" t="str">
        <f>IF(Riepilogo!N40&gt;0,Riepilogo!N40/$E$2,"")</f>
        <v/>
      </c>
      <c r="F21" s="121" t="str">
        <f>IF(E21="","",Riepilogo!K40)</f>
        <v/>
      </c>
      <c r="G21" s="115"/>
      <c r="H21" s="120" t="str">
        <f>IF(Riepilogo!O40&gt;0,Riepilogo!O40/$H$2,"")</f>
        <v/>
      </c>
      <c r="I21" s="121" t="str">
        <f>IF(H21="","",Riepilogo!K40)</f>
        <v/>
      </c>
      <c r="J21" s="118"/>
      <c r="K21" s="115"/>
      <c r="L21">
        <f t="shared" ref="L21" si="5">IF(B21="",0,B21)</f>
        <v>0</v>
      </c>
      <c r="O21">
        <f t="shared" ref="O21" si="6">IF(E21="",0,E21)</f>
        <v>0</v>
      </c>
      <c r="R21">
        <f t="shared" ref="R21" si="7">IF(H21="",0,H21)</f>
        <v>0</v>
      </c>
      <c r="U21">
        <f t="shared" ref="U21" si="8">SUM(L21:T21)</f>
        <v>0</v>
      </c>
      <c r="V21">
        <f t="shared" ref="V21" si="9">IF(U21&gt;0,1,0)</f>
        <v>0</v>
      </c>
      <c r="W21" t="b">
        <f>ISODD(SUM($V$4:V21))</f>
        <v>0</v>
      </c>
    </row>
    <row r="22" spans="1:24" hidden="1" x14ac:dyDescent="0.25">
      <c r="A22" s="116"/>
      <c r="B22" s="120">
        <f>IF(Riepilogo!M43&gt;0,Riepilogo!M43/$B$2,"")</f>
        <v>1</v>
      </c>
      <c r="C22" s="121" t="str">
        <f>IF(B22="","",CONCATENATE(Riepilogo!C43," - ",Riepilogo!K43))</f>
        <v>TS3-OpzA20T340K - TS3L1-PSUDVDBZL</v>
      </c>
      <c r="D22" s="115"/>
      <c r="E22" s="120" t="str">
        <f>IF(Riepilogo!N43&gt;0,Riepilogo!N43/$E$2,"")</f>
        <v/>
      </c>
      <c r="F22" s="121" t="str">
        <f>IF(E22="","",CONCATENATE(Riepilogo!C43," - ",Riepilogo!K43))</f>
        <v/>
      </c>
      <c r="G22" s="115"/>
      <c r="H22" s="120" t="str">
        <f>IF(Riepilogo!O43&gt;0,Riepilogo!O43/$H$2,"")</f>
        <v/>
      </c>
      <c r="I22" s="121" t="str">
        <f>IF(H22="","",CONCATENATE(Riepilogo!C43," - ",Riepilogo!K43))</f>
        <v/>
      </c>
      <c r="J22" s="118"/>
      <c r="K22" s="115"/>
      <c r="L22" s="168">
        <f t="shared" si="0"/>
        <v>1</v>
      </c>
      <c r="M22" s="168"/>
      <c r="N22" s="168"/>
      <c r="O22" s="168">
        <f t="shared" si="1"/>
        <v>0</v>
      </c>
      <c r="P22" s="168"/>
      <c r="Q22" s="168"/>
      <c r="R22" s="168">
        <f t="shared" si="2"/>
        <v>0</v>
      </c>
      <c r="S22" s="168"/>
      <c r="T22" s="168"/>
      <c r="U22" s="168">
        <f t="shared" si="3"/>
        <v>1</v>
      </c>
      <c r="V22" s="168">
        <f t="shared" si="4"/>
        <v>1</v>
      </c>
      <c r="W22" s="168" t="b">
        <f>ISODD(SUM($V$4:V22))</f>
        <v>1</v>
      </c>
      <c r="X22" t="s">
        <v>391</v>
      </c>
    </row>
    <row r="23" spans="1:24" hidden="1" x14ac:dyDescent="0.25">
      <c r="A23" s="116"/>
      <c r="B23" s="120" t="str">
        <f>IF(Riepilogo!M44&gt;0,Riepilogo!M44/$B$2,"")</f>
        <v/>
      </c>
      <c r="C23" s="121" t="str">
        <f>IF(B23="","",CONCATENATE(Riepilogo!C44," - ",Riepilogo!K44))</f>
        <v/>
      </c>
      <c r="D23" s="115"/>
      <c r="E23" s="120" t="str">
        <f>IF(Riepilogo!N44&gt;0,Riepilogo!N44/$E$2,"")</f>
        <v/>
      </c>
      <c r="F23" s="121" t="str">
        <f>IF(E23="","",CONCATENATE(Riepilogo!C44," - ",Riepilogo!K44))</f>
        <v/>
      </c>
      <c r="G23" s="115"/>
      <c r="H23" s="120" t="str">
        <f>IF(Riepilogo!O44&gt;0,Riepilogo!O44/$H$2,"")</f>
        <v/>
      </c>
      <c r="I23" s="121" t="str">
        <f>IF(H23="","",CONCATENATE(Riepilogo!C44," - ",Riepilogo!K44))</f>
        <v/>
      </c>
      <c r="J23" s="118"/>
      <c r="K23" s="115"/>
      <c r="L23">
        <f t="shared" si="0"/>
        <v>0</v>
      </c>
      <c r="O23">
        <f t="shared" si="1"/>
        <v>0</v>
      </c>
      <c r="R23">
        <f t="shared" si="2"/>
        <v>0</v>
      </c>
      <c r="U23">
        <f t="shared" si="3"/>
        <v>0</v>
      </c>
      <c r="V23">
        <f t="shared" si="4"/>
        <v>0</v>
      </c>
      <c r="W23" t="b">
        <f>ISODD(SUM($V$4:V23))</f>
        <v>1</v>
      </c>
    </row>
    <row r="24" spans="1:24" hidden="1" x14ac:dyDescent="0.25">
      <c r="A24" s="116"/>
      <c r="B24" s="120" t="str">
        <f>IF(Riepilogo!M45&gt;0,Riepilogo!M45/$B$2,"")</f>
        <v/>
      </c>
      <c r="C24" s="121" t="str">
        <f>IF(B24="","",CONCATENATE(Riepilogo!C45," - ",Riepilogo!K45))</f>
        <v/>
      </c>
      <c r="D24" s="115"/>
      <c r="E24" s="120" t="str">
        <f>IF(Riepilogo!N45&gt;0,Riepilogo!N45/$E$2,"")</f>
        <v/>
      </c>
      <c r="F24" s="121" t="str">
        <f>IF(E24="","",CONCATENATE(Riepilogo!C45," - ",Riepilogo!K45))</f>
        <v/>
      </c>
      <c r="G24" s="115"/>
      <c r="H24" s="120" t="str">
        <f>IF(Riepilogo!O45&gt;0,Riepilogo!O45/$H$2,"")</f>
        <v/>
      </c>
      <c r="I24" s="121" t="str">
        <f>IF(H24="","",CONCATENATE(Riepilogo!C45," - ",Riepilogo!K45))</f>
        <v/>
      </c>
      <c r="J24" s="118"/>
      <c r="K24" s="115"/>
      <c r="L24">
        <f t="shared" si="0"/>
        <v>0</v>
      </c>
      <c r="O24">
        <f t="shared" si="1"/>
        <v>0</v>
      </c>
      <c r="R24">
        <f t="shared" si="2"/>
        <v>0</v>
      </c>
      <c r="U24">
        <f t="shared" si="3"/>
        <v>0</v>
      </c>
      <c r="V24">
        <f t="shared" si="4"/>
        <v>0</v>
      </c>
      <c r="W24" t="b">
        <f>ISODD(SUM($V$4:V24))</f>
        <v>1</v>
      </c>
    </row>
    <row r="25" spans="1:24" hidden="1" x14ac:dyDescent="0.25">
      <c r="A25" s="116"/>
      <c r="B25" s="120" t="str">
        <f>IF(Riepilogo!M46&gt;0,Riepilogo!M46/$B$2,"")</f>
        <v/>
      </c>
      <c r="C25" s="121" t="str">
        <f>IF(B25="","",CONCATENATE(Riepilogo!C46," - ",Riepilogo!K46))</f>
        <v/>
      </c>
      <c r="D25" s="115"/>
      <c r="E25" s="120" t="str">
        <f>IF(Riepilogo!N46&gt;0,Riepilogo!N46/$E$2,"")</f>
        <v/>
      </c>
      <c r="F25" s="121" t="str">
        <f>IF(E25="","",CONCATENATE(Riepilogo!C46," - ",Riepilogo!K46))</f>
        <v/>
      </c>
      <c r="G25" s="115"/>
      <c r="H25" s="120" t="str">
        <f>IF(Riepilogo!O46&gt;0,Riepilogo!O46/$H$2,"")</f>
        <v/>
      </c>
      <c r="I25" s="121" t="str">
        <f>IF(H25="","",CONCATENATE(Riepilogo!C46," - ",Riepilogo!K46))</f>
        <v/>
      </c>
      <c r="J25" s="118"/>
      <c r="K25" s="115"/>
      <c r="L25">
        <f t="shared" si="0"/>
        <v>0</v>
      </c>
      <c r="O25">
        <f t="shared" si="1"/>
        <v>0</v>
      </c>
      <c r="R25">
        <f t="shared" si="2"/>
        <v>0</v>
      </c>
      <c r="U25">
        <f t="shared" si="3"/>
        <v>0</v>
      </c>
      <c r="V25">
        <f t="shared" si="4"/>
        <v>0</v>
      </c>
      <c r="W25" t="b">
        <f>ISODD(SUM($V$4:V25))</f>
        <v>1</v>
      </c>
    </row>
    <row r="26" spans="1:24" hidden="1" x14ac:dyDescent="0.25">
      <c r="A26" s="116"/>
      <c r="B26" s="120" t="str">
        <f>IF(Riepilogo!M47&gt;0,Riepilogo!M47/$B$2,"")</f>
        <v/>
      </c>
      <c r="C26" s="121" t="str">
        <f>IF(B26="","",CONCATENATE(Riepilogo!C47," - ",Riepilogo!K47))</f>
        <v/>
      </c>
      <c r="D26" s="115"/>
      <c r="E26" s="120" t="str">
        <f>IF(Riepilogo!N47&gt;0,Riepilogo!N47/$E$2,"")</f>
        <v/>
      </c>
      <c r="F26" s="121" t="str">
        <f>IF(E26="","",CONCATENATE(Riepilogo!C47," - ",Riepilogo!K47))</f>
        <v/>
      </c>
      <c r="G26" s="115"/>
      <c r="H26" s="120" t="str">
        <f>IF(Riepilogo!O47&gt;0,Riepilogo!O47/$H$2,"")</f>
        <v/>
      </c>
      <c r="I26" s="121" t="str">
        <f>IF(H26="","",CONCATENATE(Riepilogo!C47," - ",Riepilogo!K47))</f>
        <v/>
      </c>
      <c r="J26" s="118"/>
      <c r="K26" s="115"/>
      <c r="L26">
        <f t="shared" si="0"/>
        <v>0</v>
      </c>
      <c r="O26">
        <f t="shared" si="1"/>
        <v>0</v>
      </c>
      <c r="R26">
        <f t="shared" si="2"/>
        <v>0</v>
      </c>
      <c r="U26">
        <f t="shared" si="3"/>
        <v>0</v>
      </c>
      <c r="V26">
        <f t="shared" si="4"/>
        <v>0</v>
      </c>
      <c r="W26" t="b">
        <f>ISODD(SUM($V$4:V26))</f>
        <v>1</v>
      </c>
    </row>
    <row r="27" spans="1:24" hidden="1" x14ac:dyDescent="0.25">
      <c r="A27" s="116"/>
      <c r="B27" s="120" t="str">
        <f>IF(Riepilogo!M48&gt;0,Riepilogo!M48/$B$2,"")</f>
        <v/>
      </c>
      <c r="C27" s="121" t="str">
        <f>IF(B27="","",CONCATENATE(Riepilogo!C48," - ",Riepilogo!K48))</f>
        <v/>
      </c>
      <c r="D27" s="115"/>
      <c r="E27" s="120" t="str">
        <f>IF(Riepilogo!N48&gt;0,Riepilogo!N48/$E$2,"")</f>
        <v/>
      </c>
      <c r="F27" s="121" t="str">
        <f>IF(E27="","",CONCATENATE(Riepilogo!C48," - ",Riepilogo!K48))</f>
        <v/>
      </c>
      <c r="G27" s="115"/>
      <c r="H27" s="120" t="str">
        <f>IF(Riepilogo!O48&gt;0,Riepilogo!O48/$H$2,"")</f>
        <v/>
      </c>
      <c r="I27" s="121" t="str">
        <f>IF(H27="","",CONCATENATE(Riepilogo!C48," - ",Riepilogo!K48))</f>
        <v/>
      </c>
      <c r="J27" s="118"/>
      <c r="K27" s="115"/>
      <c r="L27">
        <f t="shared" si="0"/>
        <v>0</v>
      </c>
      <c r="O27">
        <f t="shared" si="1"/>
        <v>0</v>
      </c>
      <c r="R27">
        <f t="shared" si="2"/>
        <v>0</v>
      </c>
      <c r="U27">
        <f t="shared" si="3"/>
        <v>0</v>
      </c>
      <c r="V27">
        <f t="shared" si="4"/>
        <v>0</v>
      </c>
      <c r="W27" t="b">
        <f>ISODD(SUM($V$4:V27))</f>
        <v>1</v>
      </c>
    </row>
    <row r="28" spans="1:24" hidden="1" x14ac:dyDescent="0.25">
      <c r="A28" s="116"/>
      <c r="B28" s="120" t="str">
        <f>IF(Riepilogo!M49&gt;0,Riepilogo!M49/$B$2,"")</f>
        <v/>
      </c>
      <c r="C28" s="121" t="str">
        <f>IF(B28="","",CONCATENATE(Riepilogo!C49," - ",Riepilogo!K49))</f>
        <v/>
      </c>
      <c r="D28" s="115"/>
      <c r="E28" s="120" t="str">
        <f>IF(Riepilogo!N49&gt;0,Riepilogo!N49/$E$2,"")</f>
        <v/>
      </c>
      <c r="F28" s="121" t="str">
        <f>IF(E28="","",CONCATENATE(Riepilogo!C49," - ",Riepilogo!K49))</f>
        <v/>
      </c>
      <c r="G28" s="115"/>
      <c r="H28" s="120" t="str">
        <f>IF(Riepilogo!O49&gt;0,Riepilogo!O49/$H$2,"")</f>
        <v/>
      </c>
      <c r="I28" s="121" t="str">
        <f>IF(H28="","",CONCATENATE(Riepilogo!C49," - ",Riepilogo!K49))</f>
        <v/>
      </c>
      <c r="J28" s="118"/>
      <c r="K28" s="115"/>
      <c r="L28">
        <f t="shared" si="0"/>
        <v>0</v>
      </c>
      <c r="O28">
        <f t="shared" si="1"/>
        <v>0</v>
      </c>
      <c r="R28">
        <f t="shared" si="2"/>
        <v>0</v>
      </c>
      <c r="U28">
        <f t="shared" si="3"/>
        <v>0</v>
      </c>
      <c r="V28">
        <f t="shared" si="4"/>
        <v>0</v>
      </c>
      <c r="W28" t="b">
        <f>ISODD(SUM($V$4:V28))</f>
        <v>1</v>
      </c>
    </row>
    <row r="29" spans="1:24" hidden="1" x14ac:dyDescent="0.25">
      <c r="A29" s="116"/>
      <c r="B29" s="120" t="str">
        <f>IF(Riepilogo!M50&gt;0,Riepilogo!M50/$B$2,"")</f>
        <v/>
      </c>
      <c r="C29" s="121" t="str">
        <f>IF(B29="","",CONCATENATE(Riepilogo!C50," - ",Riepilogo!K50))</f>
        <v/>
      </c>
      <c r="D29" s="115"/>
      <c r="E29" s="120" t="str">
        <f>IF(Riepilogo!N50&gt;0,Riepilogo!N50/$E$2,"")</f>
        <v/>
      </c>
      <c r="F29" s="121" t="str">
        <f>IF(E29="","",CONCATENATE(Riepilogo!C50," - ",Riepilogo!K50))</f>
        <v/>
      </c>
      <c r="G29" s="115"/>
      <c r="H29" s="120" t="str">
        <f>IF(Riepilogo!O50&gt;0,Riepilogo!O50/$H$2,"")</f>
        <v/>
      </c>
      <c r="I29" s="121" t="str">
        <f>IF(H29="","",CONCATENATE(Riepilogo!C50," - ",Riepilogo!K50))</f>
        <v/>
      </c>
      <c r="J29" s="118"/>
      <c r="K29" s="115"/>
      <c r="L29">
        <f t="shared" si="0"/>
        <v>0</v>
      </c>
      <c r="O29">
        <f t="shared" si="1"/>
        <v>0</v>
      </c>
      <c r="R29">
        <f t="shared" si="2"/>
        <v>0</v>
      </c>
      <c r="U29">
        <f t="shared" si="3"/>
        <v>0</v>
      </c>
      <c r="V29">
        <f t="shared" si="4"/>
        <v>0</v>
      </c>
      <c r="W29" t="b">
        <f>ISODD(SUM($V$4:V29))</f>
        <v>1</v>
      </c>
    </row>
    <row r="30" spans="1:24" hidden="1" x14ac:dyDescent="0.25">
      <c r="A30" s="116"/>
      <c r="B30" s="120">
        <f>IF(Riepilogo!M51&gt;0,Riepilogo!M51/$B$2,"")</f>
        <v>3</v>
      </c>
      <c r="C30" s="121" t="str">
        <f>IF(B30="","",CONCATENATE(Riepilogo!C51," - ",Riepilogo!K51))</f>
        <v>TS3-OpzA20RJ45 - TS3L1-RJ453M</v>
      </c>
      <c r="D30" s="115"/>
      <c r="E30" s="120" t="str">
        <f>IF(Riepilogo!N51&gt;0,Riepilogo!N51/$E$2,"")</f>
        <v/>
      </c>
      <c r="F30" s="121" t="str">
        <f>IF(E30="","",CONCATENATE(Riepilogo!C51," - ",Riepilogo!K51))</f>
        <v/>
      </c>
      <c r="G30" s="115"/>
      <c r="H30" s="120" t="str">
        <f>IF(Riepilogo!O51&gt;0,Riepilogo!O51/$H$2,"")</f>
        <v/>
      </c>
      <c r="I30" s="121" t="str">
        <f>IF(H30="","",CONCATENATE(Riepilogo!C51," - ",Riepilogo!K51))</f>
        <v/>
      </c>
      <c r="J30" s="118"/>
      <c r="K30" s="115"/>
      <c r="L30">
        <f t="shared" si="0"/>
        <v>3</v>
      </c>
      <c r="O30">
        <f t="shared" si="1"/>
        <v>0</v>
      </c>
      <c r="R30">
        <f t="shared" si="2"/>
        <v>0</v>
      </c>
      <c r="U30">
        <f t="shared" si="3"/>
        <v>3</v>
      </c>
      <c r="V30">
        <f t="shared" si="4"/>
        <v>1</v>
      </c>
      <c r="W30" t="b">
        <f>ISODD(SUM($V$4:V30))</f>
        <v>0</v>
      </c>
    </row>
    <row r="31" spans="1:24" hidden="1" x14ac:dyDescent="0.25">
      <c r="A31" s="116"/>
      <c r="B31" s="120" t="str">
        <f>IF(Riepilogo!M52&gt;0,Riepilogo!M52/$B$2,"")</f>
        <v/>
      </c>
      <c r="C31" s="121" t="str">
        <f>IF(B31="","",CONCATENATE(Riepilogo!C52," - ",Riepilogo!K52))</f>
        <v/>
      </c>
      <c r="D31" s="115"/>
      <c r="E31" s="120" t="str">
        <f>IF(Riepilogo!N52&gt;0,Riepilogo!N52/$E$2,"")</f>
        <v/>
      </c>
      <c r="F31" s="121" t="str">
        <f>IF(E31="","",CONCATENATE(Riepilogo!C52," - ",Riepilogo!K52))</f>
        <v/>
      </c>
      <c r="G31" s="115"/>
      <c r="H31" s="120" t="str">
        <f>IF(Riepilogo!O52&gt;0,Riepilogo!O52/$H$2,"")</f>
        <v/>
      </c>
      <c r="I31" s="121" t="str">
        <f>IF(H31="","",CONCATENATE(Riepilogo!C52," - ",Riepilogo!K52))</f>
        <v/>
      </c>
      <c r="J31" s="118"/>
      <c r="K31" s="115"/>
      <c r="L31">
        <f t="shared" si="0"/>
        <v>0</v>
      </c>
      <c r="O31">
        <f t="shared" si="1"/>
        <v>0</v>
      </c>
      <c r="R31">
        <f t="shared" si="2"/>
        <v>0</v>
      </c>
      <c r="U31">
        <f t="shared" si="3"/>
        <v>0</v>
      </c>
      <c r="V31">
        <f t="shared" si="4"/>
        <v>0</v>
      </c>
      <c r="W31" t="b">
        <f>ISODD(SUM($V$4:V31))</f>
        <v>0</v>
      </c>
    </row>
    <row r="32" spans="1:24" hidden="1" x14ac:dyDescent="0.25">
      <c r="A32" s="116"/>
      <c r="B32" s="120" t="str">
        <f>IF(Riepilogo!M53&gt;0,Riepilogo!M53/$B$2,"")</f>
        <v/>
      </c>
      <c r="C32" s="121" t="str">
        <f>IF(B32="","",CONCATENATE(Riepilogo!C53," - ",Riepilogo!K53))</f>
        <v/>
      </c>
      <c r="D32" s="115"/>
      <c r="E32" s="120" t="str">
        <f>IF(Riepilogo!N53&gt;0,Riepilogo!N53/$E$2,"")</f>
        <v/>
      </c>
      <c r="F32" s="121" t="str">
        <f>IF(E32="","",CONCATENATE(Riepilogo!C53," - ",Riepilogo!K53))</f>
        <v/>
      </c>
      <c r="G32" s="115"/>
      <c r="H32" s="120" t="str">
        <f>IF(Riepilogo!O53&gt;0,Riepilogo!O53/$H$2,"")</f>
        <v/>
      </c>
      <c r="I32" s="121" t="str">
        <f>IF(H32="","",CONCATENATE(Riepilogo!C53," - ",Riepilogo!K53))</f>
        <v/>
      </c>
      <c r="J32" s="118"/>
      <c r="K32" s="115"/>
      <c r="L32">
        <f t="shared" si="0"/>
        <v>0</v>
      </c>
      <c r="O32">
        <f t="shared" si="1"/>
        <v>0</v>
      </c>
      <c r="R32">
        <f t="shared" si="2"/>
        <v>0</v>
      </c>
      <c r="U32">
        <f t="shared" si="3"/>
        <v>0</v>
      </c>
      <c r="V32">
        <f t="shared" si="4"/>
        <v>0</v>
      </c>
      <c r="W32" t="b">
        <f>ISODD(SUM($V$4:V32))</f>
        <v>0</v>
      </c>
    </row>
    <row r="33" spans="1:23" hidden="1" x14ac:dyDescent="0.25">
      <c r="A33" s="116"/>
      <c r="B33" s="120" t="str">
        <f>IF(Riepilogo!M54&gt;0,Riepilogo!M54/$B$2,"")</f>
        <v/>
      </c>
      <c r="C33" s="121" t="str">
        <f>IF(B33="","",CONCATENATE(Riepilogo!C54," - ",Riepilogo!K54))</f>
        <v/>
      </c>
      <c r="D33" s="115"/>
      <c r="E33" s="120" t="str">
        <f>IF(Riepilogo!N54&gt;0,Riepilogo!N54/$E$2,"")</f>
        <v/>
      </c>
      <c r="F33" s="121" t="str">
        <f>IF(E33="","",CONCATENATE(Riepilogo!C54," - ",Riepilogo!K54))</f>
        <v/>
      </c>
      <c r="G33" s="115"/>
      <c r="H33" s="120" t="str">
        <f>IF(Riepilogo!O54&gt;0,Riepilogo!O54/$H$2,"")</f>
        <v/>
      </c>
      <c r="I33" s="121" t="str">
        <f>IF(H33="","",CONCATENATE(Riepilogo!C54," - ",Riepilogo!K54))</f>
        <v/>
      </c>
      <c r="J33" s="118"/>
      <c r="K33" s="115"/>
      <c r="L33">
        <f t="shared" ref="L33:L41" si="10">IF(B33="",0,B33)</f>
        <v>0</v>
      </c>
      <c r="O33">
        <f t="shared" ref="O33:O41" si="11">IF(E33="",0,E33)</f>
        <v>0</v>
      </c>
      <c r="R33">
        <f t="shared" ref="R33:R41" si="12">IF(H33="",0,H33)</f>
        <v>0</v>
      </c>
      <c r="U33">
        <f t="shared" ref="U33:U41" si="13">SUM(L33:T33)</f>
        <v>0</v>
      </c>
      <c r="V33">
        <f t="shared" ref="V33:V41" si="14">IF(U33&gt;0,1,0)</f>
        <v>0</v>
      </c>
      <c r="W33" t="b">
        <f>ISODD(SUM($V$4:V33))</f>
        <v>0</v>
      </c>
    </row>
    <row r="34" spans="1:23" hidden="1" x14ac:dyDescent="0.25">
      <c r="A34" s="116"/>
      <c r="B34" s="120" t="str">
        <f>IF(Riepilogo!M55&gt;0,Riepilogo!M55/$B$2,"")</f>
        <v/>
      </c>
      <c r="C34" s="121" t="str">
        <f>IF(B34="","",CONCATENATE(Riepilogo!C55," - ",Riepilogo!K55))</f>
        <v/>
      </c>
      <c r="D34" s="115"/>
      <c r="E34" s="120" t="str">
        <f>IF(Riepilogo!N55&gt;0,Riepilogo!N55/$E$2,"")</f>
        <v/>
      </c>
      <c r="F34" s="121" t="str">
        <f>IF(E34="","",CONCATENATE(Riepilogo!C55," - ",Riepilogo!K55))</f>
        <v/>
      </c>
      <c r="G34" s="115"/>
      <c r="H34" s="120" t="str">
        <f>IF(Riepilogo!O55&gt;0,Riepilogo!O55/$H$2,"")</f>
        <v/>
      </c>
      <c r="I34" s="121" t="str">
        <f>IF(H34="","",CONCATENATE(Riepilogo!C55," - ",Riepilogo!K55))</f>
        <v/>
      </c>
      <c r="J34" s="118"/>
      <c r="K34" s="115"/>
      <c r="L34">
        <f t="shared" si="10"/>
        <v>0</v>
      </c>
      <c r="O34">
        <f t="shared" si="11"/>
        <v>0</v>
      </c>
      <c r="R34">
        <f t="shared" si="12"/>
        <v>0</v>
      </c>
      <c r="U34">
        <f t="shared" si="13"/>
        <v>0</v>
      </c>
      <c r="V34">
        <f t="shared" si="14"/>
        <v>0</v>
      </c>
      <c r="W34" t="b">
        <f>ISODD(SUM($V$4:V34))</f>
        <v>0</v>
      </c>
    </row>
    <row r="35" spans="1:23" hidden="1" x14ac:dyDescent="0.25">
      <c r="A35" s="116"/>
      <c r="B35" s="120" t="str">
        <f>IF(Riepilogo!M56&gt;0,Riepilogo!M56/$B$2,"")</f>
        <v/>
      </c>
      <c r="C35" s="121" t="str">
        <f>IF(B35="","",CONCATENATE(Riepilogo!C56," - ",Riepilogo!K56))</f>
        <v/>
      </c>
      <c r="D35" s="115"/>
      <c r="E35" s="120" t="str">
        <f>IF(Riepilogo!N56&gt;0,Riepilogo!N56/$E$2,"")</f>
        <v/>
      </c>
      <c r="F35" s="121" t="str">
        <f>IF(E35="","",CONCATENATE(Riepilogo!C56," - ",Riepilogo!K56))</f>
        <v/>
      </c>
      <c r="G35" s="115"/>
      <c r="H35" s="120" t="str">
        <f>IF(Riepilogo!O56&gt;0,Riepilogo!O56/$H$2,"")</f>
        <v/>
      </c>
      <c r="I35" s="121" t="str">
        <f>IF(H35="","",CONCATENATE(Riepilogo!C56," - ",Riepilogo!K56))</f>
        <v/>
      </c>
      <c r="J35" s="118"/>
      <c r="K35" s="115"/>
      <c r="L35">
        <f t="shared" si="10"/>
        <v>0</v>
      </c>
      <c r="O35">
        <f t="shared" si="11"/>
        <v>0</v>
      </c>
      <c r="R35">
        <f t="shared" si="12"/>
        <v>0</v>
      </c>
      <c r="U35">
        <f t="shared" si="13"/>
        <v>0</v>
      </c>
      <c r="V35">
        <f t="shared" si="14"/>
        <v>0</v>
      </c>
      <c r="W35" t="b">
        <f>ISODD(SUM($V$4:V35))</f>
        <v>0</v>
      </c>
    </row>
    <row r="36" spans="1:23" hidden="1" x14ac:dyDescent="0.25">
      <c r="A36" s="116"/>
      <c r="B36" s="120" t="str">
        <f>IF(Riepilogo!M57&gt;0,Riepilogo!M57/$B$2,"")</f>
        <v/>
      </c>
      <c r="C36" s="121" t="str">
        <f>IF(B36="","",CONCATENATE(Riepilogo!C57," - ",Riepilogo!K57))</f>
        <v/>
      </c>
      <c r="D36" s="115"/>
      <c r="E36" s="120" t="str">
        <f>IF(Riepilogo!N57&gt;0,Riepilogo!N57/$E$2,"")</f>
        <v/>
      </c>
      <c r="F36" s="121" t="str">
        <f>IF(E36="","",CONCATENATE(Riepilogo!C57," - ",Riepilogo!K57))</f>
        <v/>
      </c>
      <c r="G36" s="115"/>
      <c r="H36" s="120" t="str">
        <f>IF(Riepilogo!O57&gt;0,Riepilogo!O57/$H$2,"")</f>
        <v/>
      </c>
      <c r="I36" s="121" t="str">
        <f>IF(H36="","",CONCATENATE(Riepilogo!C57," - ",Riepilogo!K57))</f>
        <v/>
      </c>
      <c r="J36" s="118"/>
      <c r="K36" s="115"/>
      <c r="L36">
        <f t="shared" si="10"/>
        <v>0</v>
      </c>
      <c r="O36">
        <f t="shared" si="11"/>
        <v>0</v>
      </c>
      <c r="R36">
        <f t="shared" si="12"/>
        <v>0</v>
      </c>
      <c r="U36">
        <f t="shared" si="13"/>
        <v>0</v>
      </c>
      <c r="V36">
        <f t="shared" si="14"/>
        <v>0</v>
      </c>
      <c r="W36" t="b">
        <f>ISODD(SUM($V$4:V36))</f>
        <v>0</v>
      </c>
    </row>
    <row r="37" spans="1:23" hidden="1" x14ac:dyDescent="0.25">
      <c r="A37" s="116"/>
      <c r="B37" s="120" t="str">
        <f>IF(Riepilogo!M58&gt;0,Riepilogo!M58/$B$2,"")</f>
        <v/>
      </c>
      <c r="C37" s="121" t="str">
        <f>IF(B37="","",CONCATENATE(Riepilogo!C58," - ",Riepilogo!K58))</f>
        <v/>
      </c>
      <c r="D37" s="115"/>
      <c r="E37" s="120" t="str">
        <f>IF(Riepilogo!N58&gt;0,Riepilogo!N58/$E$2,"")</f>
        <v/>
      </c>
      <c r="F37" s="121" t="str">
        <f>IF(E37="","",CONCATENATE(Riepilogo!C58," - ",Riepilogo!K58))</f>
        <v/>
      </c>
      <c r="G37" s="115"/>
      <c r="H37" s="120" t="str">
        <f>IF(Riepilogo!O58&gt;0,Riepilogo!O58/$H$2,"")</f>
        <v/>
      </c>
      <c r="I37" s="121" t="str">
        <f>IF(H37="","",CONCATENATE(Riepilogo!C58," - ",Riepilogo!K58))</f>
        <v/>
      </c>
      <c r="J37" s="118"/>
      <c r="K37" s="115"/>
      <c r="L37">
        <f t="shared" si="10"/>
        <v>0</v>
      </c>
      <c r="O37">
        <f t="shared" si="11"/>
        <v>0</v>
      </c>
      <c r="R37">
        <f t="shared" si="12"/>
        <v>0</v>
      </c>
      <c r="U37">
        <f t="shared" si="13"/>
        <v>0</v>
      </c>
      <c r="V37">
        <f t="shared" si="14"/>
        <v>0</v>
      </c>
      <c r="W37" t="b">
        <f>ISODD(SUM($V$4:V37))</f>
        <v>0</v>
      </c>
    </row>
    <row r="38" spans="1:23" hidden="1" x14ac:dyDescent="0.25">
      <c r="A38" s="116"/>
      <c r="B38" s="120" t="str">
        <f>IF(Riepilogo!M59&gt;0,Riepilogo!M59/$B$2,"")</f>
        <v/>
      </c>
      <c r="C38" s="121" t="str">
        <f>IF(B38="","",CONCATENATE(Riepilogo!C59," - ",Riepilogo!K59))</f>
        <v/>
      </c>
      <c r="D38" s="115"/>
      <c r="E38" s="120" t="str">
        <f>IF(Riepilogo!N59&gt;0,Riepilogo!N59/$E$2,"")</f>
        <v/>
      </c>
      <c r="F38" s="121" t="str">
        <f>IF(E38="","",CONCATENATE(Riepilogo!C59," - ",Riepilogo!K59))</f>
        <v/>
      </c>
      <c r="G38" s="115"/>
      <c r="H38" s="120" t="str">
        <f>IF(Riepilogo!O59&gt;0,Riepilogo!O59/$H$2,"")</f>
        <v/>
      </c>
      <c r="I38" s="121" t="str">
        <f>IF(H38="","",CONCATENATE(Riepilogo!C59," - ",Riepilogo!K59))</f>
        <v/>
      </c>
      <c r="J38" s="118"/>
      <c r="K38" s="115"/>
      <c r="L38">
        <f t="shared" si="10"/>
        <v>0</v>
      </c>
      <c r="O38">
        <f t="shared" si="11"/>
        <v>0</v>
      </c>
      <c r="R38">
        <f t="shared" si="12"/>
        <v>0</v>
      </c>
      <c r="U38">
        <f t="shared" si="13"/>
        <v>0</v>
      </c>
      <c r="V38">
        <f t="shared" si="14"/>
        <v>0</v>
      </c>
      <c r="W38" t="b">
        <f>ISODD(SUM($V$4:V38))</f>
        <v>0</v>
      </c>
    </row>
    <row r="39" spans="1:23" hidden="1" x14ac:dyDescent="0.25">
      <c r="A39" s="116"/>
      <c r="B39" s="120" t="str">
        <f>IF(Riepilogo!M60&gt;0,Riepilogo!M60/$B$2,"")</f>
        <v/>
      </c>
      <c r="C39" s="121" t="str">
        <f>IF(B39="","",CONCATENATE(Riepilogo!C60," - ",Riepilogo!K60))</f>
        <v/>
      </c>
      <c r="D39" s="115"/>
      <c r="E39" s="120" t="str">
        <f>IF(Riepilogo!N60&gt;0,Riepilogo!N60/$E$2,"")</f>
        <v/>
      </c>
      <c r="F39" s="121" t="str">
        <f>IF(E39="","",CONCATENATE(Riepilogo!C60," - ",Riepilogo!K60))</f>
        <v/>
      </c>
      <c r="G39" s="115"/>
      <c r="H39" s="120" t="str">
        <f>IF(Riepilogo!O60&gt;0,Riepilogo!O60/$H$2,"")</f>
        <v/>
      </c>
      <c r="I39" s="121" t="str">
        <f>IF(H39="","",CONCATENATE(Riepilogo!C60," - ",Riepilogo!K60))</f>
        <v/>
      </c>
      <c r="J39" s="118"/>
      <c r="K39" s="115"/>
      <c r="L39">
        <f t="shared" si="10"/>
        <v>0</v>
      </c>
      <c r="O39">
        <f t="shared" si="11"/>
        <v>0</v>
      </c>
      <c r="R39">
        <f t="shared" si="12"/>
        <v>0</v>
      </c>
      <c r="U39">
        <f t="shared" si="13"/>
        <v>0</v>
      </c>
      <c r="V39">
        <f t="shared" si="14"/>
        <v>0</v>
      </c>
      <c r="W39" t="b">
        <f>ISODD(SUM($V$4:V39))</f>
        <v>0</v>
      </c>
    </row>
    <row r="40" spans="1:23" hidden="1" x14ac:dyDescent="0.25">
      <c r="A40" s="116"/>
      <c r="B40" s="120" t="str">
        <f>IF(Riepilogo!M61&gt;0,Riepilogo!M61/$B$2,"")</f>
        <v/>
      </c>
      <c r="C40" s="121" t="str">
        <f>IF(B40="","",CONCATENATE(Riepilogo!C61," - ",Riepilogo!K61))</f>
        <v/>
      </c>
      <c r="D40" s="115"/>
      <c r="E40" s="120" t="str">
        <f>IF(Riepilogo!N61&gt;0,Riepilogo!N61/$E$2,"")</f>
        <v/>
      </c>
      <c r="F40" s="121" t="str">
        <f>IF(E40="","",CONCATENATE(Riepilogo!C61," - ",Riepilogo!K61))</f>
        <v/>
      </c>
      <c r="G40" s="115"/>
      <c r="H40" s="120" t="str">
        <f>IF(Riepilogo!O61&gt;0,Riepilogo!O61/$H$2,"")</f>
        <v/>
      </c>
      <c r="I40" s="121" t="str">
        <f>IF(H40="","",CONCATENATE(Riepilogo!C61," - ",Riepilogo!K61))</f>
        <v/>
      </c>
      <c r="J40" s="118"/>
      <c r="K40" s="115"/>
      <c r="L40">
        <f t="shared" si="10"/>
        <v>0</v>
      </c>
      <c r="O40">
        <f t="shared" si="11"/>
        <v>0</v>
      </c>
      <c r="R40">
        <f t="shared" si="12"/>
        <v>0</v>
      </c>
      <c r="U40">
        <f t="shared" si="13"/>
        <v>0</v>
      </c>
      <c r="V40">
        <f t="shared" si="14"/>
        <v>0</v>
      </c>
      <c r="W40" t="b">
        <f>ISODD(SUM($V$4:V40))</f>
        <v>0</v>
      </c>
    </row>
    <row r="41" spans="1:23" hidden="1" x14ac:dyDescent="0.25">
      <c r="A41" s="116"/>
      <c r="B41" s="120" t="str">
        <f>IF(Riepilogo!M62&gt;0,Riepilogo!M62/$B$2,"")</f>
        <v/>
      </c>
      <c r="C41" s="121" t="str">
        <f>IF(B41="","",CONCATENATE(Riepilogo!C62," - ",Riepilogo!K62))</f>
        <v/>
      </c>
      <c r="D41" s="115"/>
      <c r="E41" s="120" t="str">
        <f>IF(Riepilogo!N62&gt;0,Riepilogo!N62/$E$2,"")</f>
        <v/>
      </c>
      <c r="F41" s="121" t="str">
        <f>IF(E41="","",CONCATENATE(Riepilogo!C62," - ",Riepilogo!K62))</f>
        <v/>
      </c>
      <c r="G41" s="115"/>
      <c r="H41" s="120" t="str">
        <f>IF(Riepilogo!O62&gt;0,Riepilogo!O62/$H$2,"")</f>
        <v/>
      </c>
      <c r="I41" s="121" t="str">
        <f>IF(H41="","",CONCATENATE(Riepilogo!C62," - ",Riepilogo!K62))</f>
        <v/>
      </c>
      <c r="J41" s="118"/>
      <c r="K41" s="115"/>
      <c r="L41">
        <f t="shared" si="10"/>
        <v>0</v>
      </c>
      <c r="O41">
        <f t="shared" si="11"/>
        <v>0</v>
      </c>
      <c r="R41">
        <f t="shared" si="12"/>
        <v>0</v>
      </c>
      <c r="U41">
        <f t="shared" si="13"/>
        <v>0</v>
      </c>
      <c r="V41">
        <f t="shared" si="14"/>
        <v>0</v>
      </c>
      <c r="W41" t="b">
        <f>ISODD(SUM($V$4:V41))</f>
        <v>0</v>
      </c>
    </row>
    <row r="42" spans="1:23" hidden="1" x14ac:dyDescent="0.25">
      <c r="A42" s="116"/>
      <c r="B42" s="115"/>
      <c r="C42" s="115"/>
      <c r="D42" s="115"/>
      <c r="E42" s="115"/>
      <c r="F42" s="115"/>
      <c r="G42" s="115"/>
      <c r="H42" s="115"/>
      <c r="I42" s="115"/>
      <c r="J42" s="118"/>
      <c r="K42" s="115"/>
      <c r="V42">
        <f>IF($U$4&gt;0,1,0)</f>
        <v>1</v>
      </c>
    </row>
    <row r="43" spans="1:23" hidden="1" x14ac:dyDescent="0.25">
      <c r="A43" s="116"/>
      <c r="B43" s="237" t="s">
        <v>219</v>
      </c>
      <c r="C43" s="237"/>
      <c r="D43" s="115"/>
      <c r="E43" s="237" t="s">
        <v>219</v>
      </c>
      <c r="F43" s="237"/>
      <c r="G43" s="115"/>
      <c r="H43" s="237" t="s">
        <v>219</v>
      </c>
      <c r="I43" s="237"/>
      <c r="J43" s="118"/>
      <c r="K43" s="115"/>
      <c r="V43">
        <f t="shared" ref="V43:V55" si="15">IF($U$4&gt;0,1,0)</f>
        <v>1</v>
      </c>
    </row>
    <row r="44" spans="1:23" ht="15" hidden="1" customHeight="1" x14ac:dyDescent="0.25">
      <c r="A44" s="116"/>
      <c r="B44" s="238" t="str">
        <f>Lotto1_T340_1!H27</f>
        <v>SI CHIEDE RAID 1 ANCHE PER I DUE DISCHI AGGIUNTIVI DA 1 TB SENZA PARTIZIONI. GLI SSD INTERNI DA 480 GB (RAID1) ANDRANNO PARTIZIONATI IN DUE PARTI PIU' O MENO EQUIVALENTI CON SISTEMA OPERATIVO IN UNA PARTE E DATI NELL'ALTRA.</v>
      </c>
      <c r="C44" s="238"/>
      <c r="D44" s="115"/>
      <c r="E44" s="238" t="str">
        <f>Lotto1_T340_2!H27</f>
        <v>Specificare la configurazione RAID per l'installazione del Sistema Operativo, se richiesto.
e/o
inserire eventuali note.</v>
      </c>
      <c r="F44" s="238"/>
      <c r="G44" s="115"/>
      <c r="H44" s="238" t="str">
        <f>Lotto1_T340_3!H27</f>
        <v>Specificare la configurazione RAID per l'installazione del Sistema Operativo, se richiesto.
e/o
inserire eventuali note.</v>
      </c>
      <c r="I44" s="238"/>
      <c r="J44" s="118"/>
      <c r="K44" s="115"/>
      <c r="V44">
        <f t="shared" si="15"/>
        <v>1</v>
      </c>
    </row>
    <row r="45" spans="1:23" hidden="1" x14ac:dyDescent="0.25">
      <c r="A45" s="116"/>
      <c r="B45" s="238"/>
      <c r="C45" s="238"/>
      <c r="D45" s="115"/>
      <c r="E45" s="238"/>
      <c r="F45" s="238"/>
      <c r="G45" s="115"/>
      <c r="H45" s="238"/>
      <c r="I45" s="238"/>
      <c r="J45" s="118"/>
      <c r="K45" s="115"/>
      <c r="V45">
        <f t="shared" si="15"/>
        <v>1</v>
      </c>
    </row>
    <row r="46" spans="1:23" hidden="1" x14ac:dyDescent="0.25">
      <c r="A46" s="116"/>
      <c r="B46" s="238"/>
      <c r="C46" s="238"/>
      <c r="D46" s="115"/>
      <c r="E46" s="238"/>
      <c r="F46" s="238"/>
      <c r="G46" s="115"/>
      <c r="H46" s="238"/>
      <c r="I46" s="238"/>
      <c r="J46" s="118"/>
      <c r="K46" s="115"/>
      <c r="V46">
        <f t="shared" si="15"/>
        <v>1</v>
      </c>
    </row>
    <row r="47" spans="1:23" hidden="1" x14ac:dyDescent="0.25">
      <c r="A47" s="116"/>
      <c r="B47" s="238"/>
      <c r="C47" s="238"/>
      <c r="D47" s="115"/>
      <c r="E47" s="238"/>
      <c r="F47" s="238"/>
      <c r="G47" s="115"/>
      <c r="H47" s="238"/>
      <c r="I47" s="238"/>
      <c r="J47" s="118"/>
      <c r="K47" s="115"/>
      <c r="V47">
        <f t="shared" si="15"/>
        <v>1</v>
      </c>
    </row>
    <row r="48" spans="1:23" hidden="1" x14ac:dyDescent="0.25">
      <c r="A48" s="116"/>
      <c r="B48" s="238"/>
      <c r="C48" s="238"/>
      <c r="D48" s="115"/>
      <c r="E48" s="238"/>
      <c r="F48" s="238"/>
      <c r="G48" s="115"/>
      <c r="H48" s="238"/>
      <c r="I48" s="238"/>
      <c r="J48" s="118"/>
      <c r="K48" s="115"/>
      <c r="V48">
        <f t="shared" si="15"/>
        <v>1</v>
      </c>
    </row>
    <row r="49" spans="1:22" hidden="1" x14ac:dyDescent="0.25">
      <c r="A49" s="116"/>
      <c r="B49" s="238"/>
      <c r="C49" s="238"/>
      <c r="D49" s="115"/>
      <c r="E49" s="238"/>
      <c r="F49" s="238"/>
      <c r="G49" s="115"/>
      <c r="H49" s="238"/>
      <c r="I49" s="238"/>
      <c r="J49" s="118"/>
      <c r="K49" s="115"/>
      <c r="V49">
        <f t="shared" si="15"/>
        <v>1</v>
      </c>
    </row>
    <row r="50" spans="1:22" hidden="1" x14ac:dyDescent="0.25">
      <c r="A50" s="116"/>
      <c r="B50" s="238"/>
      <c r="C50" s="238"/>
      <c r="D50" s="115"/>
      <c r="E50" s="238"/>
      <c r="F50" s="238"/>
      <c r="G50" s="115"/>
      <c r="H50" s="238"/>
      <c r="I50" s="238"/>
      <c r="J50" s="118"/>
      <c r="K50" s="115"/>
      <c r="V50">
        <f t="shared" si="15"/>
        <v>1</v>
      </c>
    </row>
    <row r="51" spans="1:22" hidden="1" x14ac:dyDescent="0.25">
      <c r="A51" s="116"/>
      <c r="B51" s="238"/>
      <c r="C51" s="238"/>
      <c r="D51" s="115"/>
      <c r="E51" s="238"/>
      <c r="F51" s="238"/>
      <c r="G51" s="115"/>
      <c r="H51" s="238"/>
      <c r="I51" s="238"/>
      <c r="J51" s="118"/>
      <c r="K51" s="115"/>
      <c r="V51">
        <f t="shared" si="15"/>
        <v>1</v>
      </c>
    </row>
    <row r="52" spans="1:22" hidden="1" x14ac:dyDescent="0.25">
      <c r="A52" s="116"/>
      <c r="B52" s="238"/>
      <c r="C52" s="238"/>
      <c r="D52" s="115"/>
      <c r="E52" s="238"/>
      <c r="F52" s="238"/>
      <c r="G52" s="115"/>
      <c r="H52" s="238"/>
      <c r="I52" s="238"/>
      <c r="J52" s="118"/>
      <c r="K52" s="115"/>
      <c r="V52">
        <f t="shared" si="15"/>
        <v>1</v>
      </c>
    </row>
    <row r="53" spans="1:22" hidden="1" x14ac:dyDescent="0.25">
      <c r="A53" s="116"/>
      <c r="B53" s="238"/>
      <c r="C53" s="238"/>
      <c r="D53" s="115"/>
      <c r="E53" s="238"/>
      <c r="F53" s="238"/>
      <c r="G53" s="115"/>
      <c r="H53" s="238"/>
      <c r="I53" s="238"/>
      <c r="J53" s="118"/>
      <c r="K53" s="115"/>
      <c r="V53">
        <f t="shared" si="15"/>
        <v>1</v>
      </c>
    </row>
    <row r="54" spans="1:22" hidden="1" x14ac:dyDescent="0.25">
      <c r="A54" s="116"/>
      <c r="B54" s="238"/>
      <c r="C54" s="238"/>
      <c r="D54" s="115"/>
      <c r="E54" s="238"/>
      <c r="F54" s="238"/>
      <c r="G54" s="115"/>
      <c r="H54" s="238"/>
      <c r="I54" s="238"/>
      <c r="J54" s="118"/>
      <c r="K54" s="115"/>
      <c r="V54">
        <f t="shared" si="15"/>
        <v>1</v>
      </c>
    </row>
    <row r="55" spans="1:22" hidden="1" x14ac:dyDescent="0.25">
      <c r="A55" s="116"/>
      <c r="B55" s="238"/>
      <c r="C55" s="238"/>
      <c r="D55" s="115"/>
      <c r="E55" s="238"/>
      <c r="F55" s="238"/>
      <c r="G55" s="115"/>
      <c r="H55" s="238"/>
      <c r="I55" s="238"/>
      <c r="J55" s="118"/>
      <c r="K55" s="115"/>
      <c r="V55">
        <f t="shared" si="15"/>
        <v>1</v>
      </c>
    </row>
    <row r="56" spans="1:22" ht="15.75" thickBot="1" x14ac:dyDescent="0.3">
      <c r="A56" s="122"/>
      <c r="B56" s="123"/>
      <c r="C56" s="123"/>
      <c r="D56" s="123"/>
      <c r="E56" s="123"/>
      <c r="F56" s="123"/>
      <c r="G56" s="123"/>
      <c r="H56" s="123"/>
      <c r="I56" s="123"/>
      <c r="J56" s="124"/>
      <c r="K56" s="115"/>
      <c r="V56">
        <v>1</v>
      </c>
    </row>
    <row r="57" spans="1:22" x14ac:dyDescent="0.25">
      <c r="A57" s="112"/>
      <c r="B57" s="113"/>
      <c r="C57" s="113"/>
      <c r="D57" s="113"/>
      <c r="E57" s="113"/>
      <c r="F57" s="113"/>
      <c r="G57" s="113"/>
      <c r="H57" s="113"/>
      <c r="I57" s="113"/>
      <c r="J57" s="114"/>
      <c r="K57" s="115"/>
      <c r="V57">
        <v>1</v>
      </c>
    </row>
    <row r="58" spans="1:22" x14ac:dyDescent="0.25">
      <c r="A58" s="116"/>
      <c r="B58" s="233" t="s">
        <v>284</v>
      </c>
      <c r="C58" s="233"/>
      <c r="D58" s="233"/>
      <c r="E58" s="233"/>
      <c r="F58" s="233"/>
      <c r="G58" s="233"/>
      <c r="H58" s="233"/>
      <c r="I58" s="233"/>
      <c r="J58" s="118"/>
      <c r="K58" s="115"/>
      <c r="V58">
        <v>1</v>
      </c>
    </row>
    <row r="59" spans="1:22" ht="15.75" thickBot="1" x14ac:dyDescent="0.3">
      <c r="A59" s="116"/>
      <c r="B59" s="115"/>
      <c r="C59" s="115"/>
      <c r="D59" s="115"/>
      <c r="E59" s="115"/>
      <c r="F59" s="115"/>
      <c r="G59" s="115"/>
      <c r="H59" s="115"/>
      <c r="I59" s="115"/>
      <c r="J59" s="118"/>
      <c r="K59" s="115"/>
      <c r="V59">
        <v>1</v>
      </c>
    </row>
    <row r="60" spans="1:22" ht="15.75" thickBot="1" x14ac:dyDescent="0.3">
      <c r="A60" s="116"/>
      <c r="B60" s="234" t="s">
        <v>285</v>
      </c>
      <c r="C60" s="235"/>
      <c r="D60" s="236"/>
      <c r="E60" s="115"/>
      <c r="F60" s="115"/>
      <c r="G60" s="234" t="s">
        <v>286</v>
      </c>
      <c r="H60" s="235"/>
      <c r="I60" s="236"/>
      <c r="J60" s="118"/>
      <c r="K60" s="115"/>
      <c r="V60">
        <v>1</v>
      </c>
    </row>
    <row r="61" spans="1:22" x14ac:dyDescent="0.25">
      <c r="A61" s="116"/>
      <c r="B61" s="112"/>
      <c r="C61" s="113"/>
      <c r="D61" s="114"/>
      <c r="E61" s="115"/>
      <c r="F61" s="115"/>
      <c r="G61" s="112"/>
      <c r="H61" s="113"/>
      <c r="I61" s="114"/>
      <c r="J61" s="118"/>
      <c r="K61" s="115"/>
      <c r="V61">
        <v>1</v>
      </c>
    </row>
    <row r="62" spans="1:22" x14ac:dyDescent="0.25">
      <c r="A62" s="116"/>
      <c r="B62" s="116"/>
      <c r="C62" s="115"/>
      <c r="D62" s="118"/>
      <c r="E62" s="115"/>
      <c r="F62" s="115"/>
      <c r="G62" s="116"/>
      <c r="H62" s="115"/>
      <c r="I62" s="118"/>
      <c r="J62" s="118"/>
      <c r="K62" s="115"/>
      <c r="V62">
        <v>1</v>
      </c>
    </row>
    <row r="63" spans="1:22" ht="15.75" thickBot="1" x14ac:dyDescent="0.3">
      <c r="A63" s="116"/>
      <c r="B63" s="122"/>
      <c r="C63" s="123"/>
      <c r="D63" s="124"/>
      <c r="E63" s="115"/>
      <c r="F63" s="115"/>
      <c r="G63" s="122"/>
      <c r="H63" s="123"/>
      <c r="I63" s="124"/>
      <c r="J63" s="118"/>
      <c r="K63" s="115"/>
      <c r="V63">
        <v>1</v>
      </c>
    </row>
    <row r="64" spans="1:22" ht="15.75" thickBot="1" x14ac:dyDescent="0.3">
      <c r="A64" s="122"/>
      <c r="B64" s="123"/>
      <c r="C64" s="123"/>
      <c r="D64" s="123"/>
      <c r="E64" s="123"/>
      <c r="F64" s="123"/>
      <c r="G64" s="123"/>
      <c r="H64" s="123"/>
      <c r="I64" s="123"/>
      <c r="J64" s="124"/>
      <c r="K64" s="115"/>
      <c r="V64">
        <v>1</v>
      </c>
    </row>
  </sheetData>
  <sheetProtection algorithmName="SHA-512" hashValue="weiGu1KzI8XM5c4yPyKoEL+6RLKgotKrWnzboByiByrgfKlsiPKWIqZl99J5sPDfozF4TbOkiUQgBJW1LEADhQ==" saltValue="BhbiLboV8FCU1W5SJW/OWg==" spinCount="100000" sheet="1" objects="1" scenarios="1"/>
  <autoFilter ref="V1:V64" xr:uid="{00000000-0009-0000-0000-000006000000}">
    <filterColumn colId="0">
      <filters>
        <filter val="1"/>
      </filters>
    </filterColumn>
  </autoFilter>
  <mergeCells count="9">
    <mergeCell ref="B58:I58"/>
    <mergeCell ref="B60:D60"/>
    <mergeCell ref="G60:I60"/>
    <mergeCell ref="B43:C43"/>
    <mergeCell ref="B44:C55"/>
    <mergeCell ref="E43:F43"/>
    <mergeCell ref="E44:F55"/>
    <mergeCell ref="H43:I43"/>
    <mergeCell ref="H44:I55"/>
  </mergeCells>
  <conditionalFormatting sqref="B4:C41 E4:F41 H4:I41">
    <cfRule type="expression" dxfId="0" priority="5">
      <formula>$W4=TRUE</formula>
    </cfRule>
  </conditionalFormatting>
  <pageMargins left="0.23622047244094491" right="0.23622047244094491" top="0.74803149606299213" bottom="0.74803149606299213" header="0.31496062992125984" footer="0.31496062992125984"/>
  <pageSetup paperSize="9" scale="83" fitToHeight="0" orientation="portrait" r:id="rId1"/>
  <headerFooter>
    <oddHeader>&amp;LInviare via mail a:
ordini-ts3-lotto1@converge.it&amp;RStampato il &amp;D</oddHeader>
    <oddFooter>&amp;CCopyright 2020 Converge S.p.A. -All Right Reserved&amp;RPagina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17</vt:i4>
      </vt:variant>
    </vt:vector>
  </HeadingPairs>
  <TitlesOfParts>
    <vt:vector size="24" baseType="lpstr">
      <vt:lpstr>Lotto1_T340_1</vt:lpstr>
      <vt:lpstr>Lotto1_T340_2</vt:lpstr>
      <vt:lpstr>Lotto1_T340_3</vt:lpstr>
      <vt:lpstr>ConfigurationTS3L1</vt:lpstr>
      <vt:lpstr>Tabella_prezzi</vt:lpstr>
      <vt:lpstr>Riepilogo</vt:lpstr>
      <vt:lpstr>Configurazione</vt:lpstr>
      <vt:lpstr>TS3L1_ALL</vt:lpstr>
      <vt:lpstr>TS3L1_BEZEL</vt:lpstr>
      <vt:lpstr>TS3L1_DVD</vt:lpstr>
      <vt:lpstr>TS3L1_GUI</vt:lpstr>
      <vt:lpstr>TS3L1_HDD</vt:lpstr>
      <vt:lpstr>TS3L1_KYHDD</vt:lpstr>
      <vt:lpstr>TS3L1_OS</vt:lpstr>
      <vt:lpstr>TS3L1_PCI1</vt:lpstr>
      <vt:lpstr>TS3L1_PCI2</vt:lpstr>
      <vt:lpstr>TS3L1_PCI3</vt:lpstr>
      <vt:lpstr>TS3L1_PCI4</vt:lpstr>
      <vt:lpstr>TS3L1_PSU</vt:lpstr>
      <vt:lpstr>TS3L1_RAM</vt:lpstr>
      <vt:lpstr>TS3L1_UPS</vt:lpstr>
      <vt:lpstr>TS3L1_WARRANTY</vt:lpstr>
      <vt:lpstr>TS3L11PSU</vt:lpstr>
      <vt:lpstr>TS3L12PSU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D'Angelo</dc:creator>
  <cp:lastModifiedBy>Massimo Toso</cp:lastModifiedBy>
  <cp:lastPrinted>2022-01-13T08:00:48Z</cp:lastPrinted>
  <dcterms:created xsi:type="dcterms:W3CDTF">2020-09-03T14:13:03Z</dcterms:created>
  <dcterms:modified xsi:type="dcterms:W3CDTF">2022-02-18T12:16:12Z</dcterms:modified>
</cp:coreProperties>
</file>