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265" yWindow="5820" windowWidth="14145" windowHeight="5850" firstSheet="4" activeTab="6"/>
  </bookViews>
  <sheets>
    <sheet name="Foglio1" sheetId="5" r:id="rId1"/>
    <sheet name="Foglio5" sheetId="6" r:id="rId2"/>
    <sheet name="Foglio3" sheetId="7" r:id="rId3"/>
    <sheet name="Foglio 4" sheetId="2" r:id="rId4"/>
    <sheet name="MOF 25-26" sheetId="10" r:id="rId5"/>
    <sheet name="fis docenti 25-26" sheetId="12" r:id="rId6"/>
    <sheet name="fis ATA 25-26" sheetId="13" r:id="rId7"/>
    <sheet name="Foglio2" sheetId="14" r:id="rId8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3"/>
  <c r="F34"/>
  <c r="E14"/>
  <c r="E27"/>
  <c r="G27"/>
  <c r="G14"/>
  <c r="E31"/>
  <c r="E30"/>
  <c r="F3" i="12"/>
  <c r="H3" s="1"/>
  <c r="H47"/>
  <c r="C12" i="10"/>
  <c r="B12"/>
  <c r="E11"/>
  <c r="E10"/>
  <c r="E6"/>
  <c r="E9"/>
  <c r="B17" s="1"/>
  <c r="E8"/>
  <c r="E7"/>
  <c r="E5"/>
  <c r="E4"/>
  <c r="E12" s="1"/>
  <c r="E3"/>
  <c r="H25" i="12"/>
  <c r="F32"/>
  <c r="H32" s="1"/>
  <c r="F44"/>
  <c r="H44" s="1"/>
  <c r="F43"/>
  <c r="H43" s="1"/>
  <c r="F38"/>
  <c r="H38" s="1"/>
  <c r="F36"/>
  <c r="H36" s="1"/>
  <c r="F35"/>
  <c r="H35" s="1"/>
  <c r="F9"/>
  <c r="H9" s="1"/>
  <c r="F29"/>
  <c r="H29" s="1"/>
  <c r="F31"/>
  <c r="H31" s="1"/>
  <c r="F41"/>
  <c r="H41" s="1"/>
  <c r="F42"/>
  <c r="H42" s="1"/>
  <c r="F28"/>
  <c r="H28" s="1"/>
  <c r="F27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3"/>
  <c r="H13" s="1"/>
  <c r="F11"/>
  <c r="H11" s="1"/>
  <c r="F8"/>
  <c r="H8" s="1"/>
  <c r="F7"/>
  <c r="H7" s="1"/>
  <c r="F6"/>
  <c r="H6" s="1"/>
  <c r="F5"/>
  <c r="H5" s="1"/>
  <c r="F4"/>
  <c r="H4" s="1"/>
  <c r="F2"/>
  <c r="H2" s="1"/>
  <c r="J38" i="14"/>
  <c r="J37"/>
  <c r="J36"/>
  <c r="J35"/>
  <c r="J34"/>
  <c r="J33"/>
  <c r="J32"/>
  <c r="J30"/>
  <c r="J31"/>
  <c r="H38"/>
  <c r="H37"/>
  <c r="H36"/>
  <c r="H35"/>
  <c r="H34"/>
  <c r="H33"/>
  <c r="H32"/>
  <c r="H31"/>
  <c r="H30"/>
  <c r="H29"/>
  <c r="J29" s="1"/>
  <c r="H28"/>
  <c r="J28" s="1"/>
  <c r="H27"/>
  <c r="J27" s="1"/>
  <c r="J26"/>
  <c r="H26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J15"/>
  <c r="H15"/>
  <c r="H14"/>
  <c r="J14" s="1"/>
  <c r="J13"/>
  <c r="H13"/>
  <c r="H12"/>
  <c r="J12" s="1"/>
  <c r="J11"/>
  <c r="H11"/>
  <c r="H9"/>
  <c r="J9" s="1"/>
  <c r="J8"/>
  <c r="H8"/>
  <c r="H7"/>
  <c r="J7" s="1"/>
  <c r="H6"/>
  <c r="J6" s="1"/>
  <c r="H5"/>
  <c r="J5" s="1"/>
  <c r="H4"/>
  <c r="J4" s="1"/>
  <c r="H3"/>
  <c r="J3" s="1"/>
  <c r="H2"/>
  <c r="J2" s="1"/>
  <c r="E23" i="13"/>
  <c r="G23" s="1"/>
  <c r="G24"/>
  <c r="G22"/>
  <c r="E21"/>
  <c r="G20"/>
  <c r="G19"/>
  <c r="G18"/>
  <c r="G17"/>
  <c r="G16"/>
  <c r="E12"/>
  <c r="G11"/>
  <c r="G10"/>
  <c r="G9"/>
  <c r="G8"/>
  <c r="G7"/>
  <c r="G6"/>
  <c r="G5"/>
  <c r="G4"/>
  <c r="G3"/>
  <c r="G2"/>
  <c r="E32" l="1"/>
  <c r="E35" s="1"/>
  <c r="G35" s="1"/>
  <c r="H14" i="12"/>
  <c r="H46" s="1"/>
  <c r="H49" s="1"/>
  <c r="C17" i="10"/>
  <c r="B16"/>
  <c r="C16" s="1"/>
  <c r="D17"/>
  <c r="E13"/>
  <c r="J39" i="14"/>
  <c r="J10"/>
  <c r="E25" i="13"/>
  <c r="G21"/>
  <c r="G25" s="1"/>
  <c r="G12"/>
  <c r="E34" l="1"/>
  <c r="G34" s="1"/>
  <c r="G26"/>
  <c r="H48" i="12"/>
  <c r="C18" i="10"/>
  <c r="D16"/>
  <c r="B18"/>
  <c r="G13" i="13" l="1"/>
  <c r="D18" i="10"/>
  <c r="J40" i="14" l="1"/>
  <c r="J42" l="1"/>
  <c r="J41"/>
  <c r="I14" i="7" l="1"/>
  <c r="I12"/>
  <c r="I11"/>
  <c r="E11"/>
  <c r="E13" s="1"/>
  <c r="I10"/>
  <c r="I9"/>
  <c r="I8"/>
  <c r="I7"/>
  <c r="H7"/>
  <c r="I6"/>
  <c r="I5"/>
  <c r="H4"/>
  <c r="H2"/>
  <c r="M51" i="6"/>
  <c r="L52"/>
  <c r="M52"/>
  <c r="L51"/>
  <c r="J50"/>
  <c r="K50" s="1"/>
  <c r="K49"/>
  <c r="J49"/>
  <c r="J47"/>
  <c r="K47" s="1"/>
  <c r="K46"/>
  <c r="J46"/>
  <c r="J45"/>
  <c r="K45" s="1"/>
  <c r="K44"/>
  <c r="J44"/>
  <c r="J43"/>
  <c r="K43" s="1"/>
  <c r="K42"/>
  <c r="J42"/>
  <c r="J41"/>
  <c r="K41" s="1"/>
  <c r="K40"/>
  <c r="J40"/>
  <c r="J39"/>
  <c r="K39" s="1"/>
  <c r="K38"/>
  <c r="J38"/>
  <c r="J37"/>
  <c r="K37" s="1"/>
  <c r="K36"/>
  <c r="J36"/>
  <c r="J35"/>
  <c r="K35" s="1"/>
  <c r="K34"/>
  <c r="J34"/>
  <c r="J33"/>
  <c r="K33" s="1"/>
  <c r="K32"/>
  <c r="J32"/>
  <c r="J31"/>
  <c r="K31" s="1"/>
  <c r="K30"/>
  <c r="J30"/>
  <c r="J28"/>
  <c r="K28" s="1"/>
  <c r="K27"/>
  <c r="J27"/>
  <c r="K25"/>
  <c r="J25"/>
  <c r="J24"/>
  <c r="K24" s="1"/>
  <c r="K23"/>
  <c r="J23"/>
  <c r="J21"/>
  <c r="K21" s="1"/>
  <c r="J19"/>
  <c r="K19" s="1"/>
  <c r="K18"/>
  <c r="J18"/>
  <c r="J17"/>
  <c r="K17" s="1"/>
  <c r="K16"/>
  <c r="J16"/>
  <c r="J20" s="1"/>
  <c r="K20" s="1"/>
  <c r="J14"/>
  <c r="K14" s="1"/>
  <c r="K13"/>
  <c r="J13"/>
  <c r="J12"/>
  <c r="K12" s="1"/>
  <c r="K11"/>
  <c r="J11"/>
  <c r="J10"/>
  <c r="K10" s="1"/>
  <c r="K9"/>
  <c r="J9"/>
  <c r="J8"/>
  <c r="K8" s="1"/>
  <c r="K7"/>
  <c r="J7"/>
  <c r="J6"/>
  <c r="K6" s="1"/>
  <c r="K5"/>
  <c r="J5"/>
  <c r="J4"/>
  <c r="K4" s="1"/>
  <c r="K3"/>
  <c r="J3"/>
  <c r="J2"/>
  <c r="K2" s="1"/>
  <c r="K1"/>
  <c r="J1"/>
  <c r="W24" i="5"/>
  <c r="W30"/>
  <c r="W28"/>
  <c r="Z39"/>
  <c r="AA39"/>
  <c r="D66"/>
  <c r="M53"/>
  <c r="AA15"/>
  <c r="AA14"/>
  <c r="AA13"/>
  <c r="AA12"/>
  <c r="AA11"/>
  <c r="AA10"/>
  <c r="AA9"/>
  <c r="AA8"/>
  <c r="AA7"/>
  <c r="AA6"/>
  <c r="AA5"/>
  <c r="L48"/>
  <c r="K48"/>
  <c r="I13" i="7" l="1"/>
  <c r="E15"/>
  <c r="I15" s="1"/>
  <c r="J26" i="6"/>
  <c r="K26" s="1"/>
  <c r="K46" i="5"/>
  <c r="L46" s="1"/>
  <c r="K3" l="1"/>
  <c r="L3" s="1"/>
  <c r="Z4"/>
  <c r="Z2"/>
  <c r="W11"/>
  <c r="W13" s="1"/>
  <c r="Z7"/>
  <c r="M10"/>
  <c r="M30"/>
  <c r="T14"/>
  <c r="T6"/>
  <c r="N2"/>
  <c r="P2" s="1"/>
  <c r="S22"/>
  <c r="T22" s="1"/>
  <c r="T23" s="1"/>
  <c r="K79"/>
  <c r="L79" s="1"/>
  <c r="K78"/>
  <c r="L78" s="1"/>
  <c r="K77"/>
  <c r="K76"/>
  <c r="L76" s="1"/>
  <c r="K75"/>
  <c r="L75" s="1"/>
  <c r="K74"/>
  <c r="L74" s="1"/>
  <c r="K73"/>
  <c r="L73" s="1"/>
  <c r="K72"/>
  <c r="L72" s="1"/>
  <c r="K71"/>
  <c r="L71" s="1"/>
  <c r="K70"/>
  <c r="L70" s="1"/>
  <c r="L77"/>
  <c r="X16" l="1"/>
  <c r="X18" s="1"/>
  <c r="W19" s="1"/>
  <c r="W15"/>
  <c r="L80"/>
  <c r="B60" s="1"/>
  <c r="O30"/>
  <c r="Q30" s="1"/>
  <c r="O29"/>
  <c r="Q29" s="1"/>
  <c r="K51"/>
  <c r="L51" s="1"/>
  <c r="K50"/>
  <c r="L50" s="1"/>
  <c r="L52" s="1"/>
  <c r="M52" s="1"/>
  <c r="M55" s="1"/>
  <c r="K6"/>
  <c r="L6" s="1"/>
  <c r="P25"/>
  <c r="P24"/>
  <c r="P23"/>
  <c r="P22"/>
  <c r="P21"/>
  <c r="K5"/>
  <c r="L5" s="1"/>
  <c r="P4"/>
  <c r="R4" s="1"/>
  <c r="T4" s="1"/>
  <c r="P15"/>
  <c r="R2"/>
  <c r="T2" s="1"/>
  <c r="T12" l="1"/>
  <c r="T11"/>
  <c r="Q6"/>
  <c r="T5"/>
  <c r="T9" s="1"/>
  <c r="L53" s="1"/>
  <c r="K22"/>
  <c r="L22" s="1"/>
  <c r="K15"/>
  <c r="L15" s="1"/>
  <c r="K14"/>
  <c r="L14" s="1"/>
  <c r="K20"/>
  <c r="L20" s="1"/>
  <c r="K19"/>
  <c r="L19" s="1"/>
  <c r="K18"/>
  <c r="K17"/>
  <c r="L17" s="1"/>
  <c r="K38"/>
  <c r="L38" s="1"/>
  <c r="K37"/>
  <c r="L37" s="1"/>
  <c r="K36"/>
  <c r="L36" s="1"/>
  <c r="K32"/>
  <c r="K31"/>
  <c r="L31" s="1"/>
  <c r="K28"/>
  <c r="L28" s="1"/>
  <c r="K35"/>
  <c r="L35" s="1"/>
  <c r="K39"/>
  <c r="L39" s="1"/>
  <c r="K33"/>
  <c r="L33" s="1"/>
  <c r="K26"/>
  <c r="K25"/>
  <c r="L25" s="1"/>
  <c r="K24"/>
  <c r="L24" s="1"/>
  <c r="K13"/>
  <c r="L13" s="1"/>
  <c r="K12"/>
  <c r="L12" s="1"/>
  <c r="K8"/>
  <c r="L8" s="1"/>
  <c r="K7"/>
  <c r="L7" s="1"/>
  <c r="K47"/>
  <c r="L47" s="1"/>
  <c r="K45"/>
  <c r="L45" s="1"/>
  <c r="K44"/>
  <c r="L44" s="1"/>
  <c r="K43"/>
  <c r="L43" s="1"/>
  <c r="K42"/>
  <c r="L42" s="1"/>
  <c r="K41"/>
  <c r="L41" s="1"/>
  <c r="K40"/>
  <c r="L40" s="1"/>
  <c r="K29"/>
  <c r="L29" s="1"/>
  <c r="K11"/>
  <c r="L11" s="1"/>
  <c r="K10"/>
  <c r="L10" s="1"/>
  <c r="K9"/>
  <c r="L9" s="1"/>
  <c r="K4"/>
  <c r="L4" s="1"/>
  <c r="K2"/>
  <c r="L2" s="1"/>
  <c r="T13" l="1"/>
  <c r="T16" s="1"/>
  <c r="L81" s="1"/>
  <c r="K34"/>
  <c r="L34" s="1"/>
  <c r="L32"/>
  <c r="K27"/>
  <c r="L27" s="1"/>
  <c r="L26"/>
  <c r="K21"/>
  <c r="L21" s="1"/>
  <c r="L18"/>
  <c r="L83" l="1"/>
  <c r="R6"/>
  <c r="S5" s="1"/>
  <c r="B58"/>
  <c r="R74" i="2"/>
  <c r="X65"/>
  <c r="S61"/>
  <c r="S60"/>
  <c r="S59"/>
  <c r="S58"/>
  <c r="S57"/>
  <c r="S56"/>
  <c r="S55"/>
  <c r="S54"/>
  <c r="S53"/>
  <c r="S52"/>
  <c r="Q4"/>
  <c r="L4"/>
  <c r="N4" s="1"/>
  <c r="D76"/>
  <c r="D77" s="1"/>
  <c r="D69"/>
  <c r="D71"/>
  <c r="L29"/>
  <c r="M29" s="1"/>
  <c r="S29" s="1"/>
  <c r="S44"/>
  <c r="M41"/>
  <c r="S41" s="1"/>
  <c r="M28"/>
  <c r="S28" s="1"/>
  <c r="M21"/>
  <c r="S21" s="1"/>
  <c r="M16"/>
  <c r="S16" s="1"/>
  <c r="M14"/>
  <c r="S14" s="1"/>
  <c r="S9"/>
  <c r="S2"/>
  <c r="O61"/>
  <c r="O60"/>
  <c r="O58"/>
  <c r="O55"/>
  <c r="O54"/>
  <c r="O53"/>
  <c r="O52"/>
  <c r="R60"/>
  <c r="Q60"/>
  <c r="Q44"/>
  <c r="L44"/>
  <c r="R44" s="1"/>
  <c r="Q43"/>
  <c r="Q42"/>
  <c r="Q41"/>
  <c r="L43"/>
  <c r="N43" s="1"/>
  <c r="L42"/>
  <c r="N42" s="1"/>
  <c r="L41"/>
  <c r="N41" s="1"/>
  <c r="L40"/>
  <c r="N40" s="1"/>
  <c r="L39"/>
  <c r="N39" s="1"/>
  <c r="L38"/>
  <c r="N38" s="1"/>
  <c r="L26"/>
  <c r="R26" s="1"/>
  <c r="L22"/>
  <c r="M22" s="1"/>
  <c r="S22" s="1"/>
  <c r="L18"/>
  <c r="M18" s="1"/>
  <c r="S18" s="1"/>
  <c r="L17"/>
  <c r="M17" s="1"/>
  <c r="S17" s="1"/>
  <c r="L16"/>
  <c r="L15"/>
  <c r="M15" s="1"/>
  <c r="S15" s="1"/>
  <c r="L20"/>
  <c r="N20" s="1"/>
  <c r="L13"/>
  <c r="N13" s="1"/>
  <c r="L12"/>
  <c r="R12" s="1"/>
  <c r="L9"/>
  <c r="L8"/>
  <c r="R8" s="1"/>
  <c r="Q61"/>
  <c r="R61"/>
  <c r="R58"/>
  <c r="Q58"/>
  <c r="Q57"/>
  <c r="R57"/>
  <c r="Q56"/>
  <c r="R56"/>
  <c r="Q55"/>
  <c r="Q54"/>
  <c r="R54"/>
  <c r="Q53"/>
  <c r="R53"/>
  <c r="Q52"/>
  <c r="R52"/>
  <c r="N69"/>
  <c r="Q45"/>
  <c r="Q40"/>
  <c r="Q39"/>
  <c r="L45"/>
  <c r="R45" s="1"/>
  <c r="L37"/>
  <c r="N37" s="1"/>
  <c r="L36"/>
  <c r="N36" s="1"/>
  <c r="L35"/>
  <c r="N35" s="1"/>
  <c r="L34"/>
  <c r="N34" s="1"/>
  <c r="L33"/>
  <c r="N33" s="1"/>
  <c r="L27"/>
  <c r="N27" s="1"/>
  <c r="L31"/>
  <c r="M31" s="1"/>
  <c r="S31" s="1"/>
  <c r="L30"/>
  <c r="M30" s="1"/>
  <c r="S30" s="1"/>
  <c r="L24"/>
  <c r="M24" s="1"/>
  <c r="S24" s="1"/>
  <c r="L23"/>
  <c r="M23" s="1"/>
  <c r="S23" s="1"/>
  <c r="L11"/>
  <c r="R11" s="1"/>
  <c r="L10"/>
  <c r="R10" s="1"/>
  <c r="L6"/>
  <c r="R6" s="1"/>
  <c r="L5"/>
  <c r="N5" s="1"/>
  <c r="L7"/>
  <c r="N7" s="1"/>
  <c r="L3"/>
  <c r="R3" s="1"/>
  <c r="L2"/>
  <c r="R2" s="1"/>
  <c r="Q69"/>
  <c r="Q68"/>
  <c r="T73"/>
  <c r="T77"/>
  <c r="T76"/>
  <c r="T75"/>
  <c r="T71"/>
  <c r="T70"/>
  <c r="T67"/>
  <c r="T66"/>
  <c r="O69"/>
  <c r="R64" s="1"/>
  <c r="O68"/>
  <c r="M42" l="1"/>
  <c r="S42" s="1"/>
  <c r="R48"/>
  <c r="S74" s="1"/>
  <c r="U74" s="1"/>
  <c r="M34"/>
  <c r="S34" s="1"/>
  <c r="W65"/>
  <c r="M36"/>
  <c r="S36" s="1"/>
  <c r="M6"/>
  <c r="S6" s="1"/>
  <c r="M37"/>
  <c r="S37" s="1"/>
  <c r="M5"/>
  <c r="S5" s="1"/>
  <c r="M33"/>
  <c r="S33" s="1"/>
  <c r="M38"/>
  <c r="S38" s="1"/>
  <c r="L82" i="5"/>
  <c r="S13"/>
  <c r="L54"/>
  <c r="L55"/>
  <c r="M11" i="2"/>
  <c r="S11" s="1"/>
  <c r="M10"/>
  <c r="S10" s="1"/>
  <c r="M20"/>
  <c r="S20" s="1"/>
  <c r="M45"/>
  <c r="S45" s="1"/>
  <c r="M3"/>
  <c r="S3" s="1"/>
  <c r="M8"/>
  <c r="S8" s="1"/>
  <c r="M40"/>
  <c r="S40" s="1"/>
  <c r="M7"/>
  <c r="S7" s="1"/>
  <c r="M26"/>
  <c r="S26" s="1"/>
  <c r="M35"/>
  <c r="S35" s="1"/>
  <c r="M39"/>
  <c r="S39" s="1"/>
  <c r="M43"/>
  <c r="S43" s="1"/>
  <c r="S63"/>
  <c r="S66" s="1"/>
  <c r="M12"/>
  <c r="S12" s="1"/>
  <c r="M13"/>
  <c r="S13" s="1"/>
  <c r="M4"/>
  <c r="S4" s="1"/>
  <c r="R4"/>
  <c r="T4" s="1"/>
  <c r="M27"/>
  <c r="S27" s="1"/>
  <c r="L32"/>
  <c r="M32" s="1"/>
  <c r="S32" s="1"/>
  <c r="R5"/>
  <c r="R20"/>
  <c r="R39"/>
  <c r="T39" s="1"/>
  <c r="R40"/>
  <c r="T40" s="1"/>
  <c r="N26"/>
  <c r="R43"/>
  <c r="T43" s="1"/>
  <c r="U60"/>
  <c r="R41"/>
  <c r="T41" s="1"/>
  <c r="U56"/>
  <c r="O57"/>
  <c r="N44"/>
  <c r="O56"/>
  <c r="R42"/>
  <c r="T42" s="1"/>
  <c r="N2"/>
  <c r="N12"/>
  <c r="N3"/>
  <c r="P63"/>
  <c r="N6"/>
  <c r="T44"/>
  <c r="R36"/>
  <c r="N45"/>
  <c r="L19"/>
  <c r="R13"/>
  <c r="N8"/>
  <c r="N11"/>
  <c r="N10"/>
  <c r="U61"/>
  <c r="U58"/>
  <c r="L25"/>
  <c r="U54"/>
  <c r="U57"/>
  <c r="U53"/>
  <c r="U52"/>
  <c r="R55"/>
  <c r="U55" s="1"/>
  <c r="T45"/>
  <c r="R27"/>
  <c r="R35"/>
  <c r="R7"/>
  <c r="R34"/>
  <c r="R38"/>
  <c r="R33"/>
  <c r="R37"/>
  <c r="T82"/>
  <c r="W60" l="1"/>
  <c r="X60" s="1"/>
  <c r="D75"/>
  <c r="R19"/>
  <c r="M19"/>
  <c r="S19" s="1"/>
  <c r="N25"/>
  <c r="M25"/>
  <c r="S25" s="1"/>
  <c r="R63"/>
  <c r="R32"/>
  <c r="N32"/>
  <c r="R25"/>
  <c r="N19"/>
  <c r="Q38"/>
  <c r="T38" s="1"/>
  <c r="Q35"/>
  <c r="T35" s="1"/>
  <c r="Q34"/>
  <c r="T34" s="1"/>
  <c r="Q27"/>
  <c r="T27" s="1"/>
  <c r="Q32"/>
  <c r="Q26"/>
  <c r="T26" s="1"/>
  <c r="Q25"/>
  <c r="T25" s="1"/>
  <c r="Q7"/>
  <c r="T7" s="1"/>
  <c r="Q6"/>
  <c r="T6" s="1"/>
  <c r="S47" l="1"/>
  <c r="T32"/>
  <c r="N47"/>
  <c r="R47"/>
  <c r="Q3"/>
  <c r="T3" s="1"/>
  <c r="Q36"/>
  <c r="T36" s="1"/>
  <c r="Q33"/>
  <c r="T33" s="1"/>
  <c r="Q37"/>
  <c r="T37" s="1"/>
  <c r="Q8"/>
  <c r="T8" s="1"/>
  <c r="Q13"/>
  <c r="T13" s="1"/>
  <c r="Q12"/>
  <c r="T12" s="1"/>
  <c r="Q11"/>
  <c r="T11" s="1"/>
  <c r="Q20"/>
  <c r="T20" s="1"/>
  <c r="Q5"/>
  <c r="T5" s="1"/>
  <c r="Q19"/>
  <c r="T19" s="1"/>
  <c r="Q2"/>
  <c r="T2" s="1"/>
  <c r="Q10"/>
  <c r="T10" s="1"/>
  <c r="L69" l="1"/>
  <c r="L68"/>
  <c r="Q47"/>
  <c r="T47"/>
  <c r="O27" i="5"/>
  <c r="N27"/>
  <c r="P27" l="1"/>
</calcChain>
</file>

<file path=xl/sharedStrings.xml><?xml version="1.0" encoding="utf-8"?>
<sst xmlns="http://schemas.openxmlformats.org/spreadsheetml/2006/main" count="492" uniqueCount="290">
  <si>
    <t>PERSONALE DOCENTE</t>
  </si>
  <si>
    <t>mof doc</t>
  </si>
  <si>
    <t>mof ata</t>
  </si>
  <si>
    <t>fs</t>
  </si>
  <si>
    <t>inc ata</t>
  </si>
  <si>
    <t>ore ecc</t>
  </si>
  <si>
    <t>ed. fisica</t>
  </si>
  <si>
    <t>aree a rischio</t>
  </si>
  <si>
    <t xml:space="preserve">variazioni </t>
  </si>
  <si>
    <t>bonus</t>
  </si>
  <si>
    <t>dsga</t>
  </si>
  <si>
    <t>fis totale</t>
  </si>
  <si>
    <t>Attività sezione sportiva</t>
  </si>
  <si>
    <t>Progetto inglese infanzia</t>
  </si>
  <si>
    <t xml:space="preserve">Progetto bilinguismo primaria </t>
  </si>
  <si>
    <t>Laboratori scuola secondaria primo grado</t>
  </si>
  <si>
    <t xml:space="preserve">Recupero scuola secondaria </t>
  </si>
  <si>
    <t>collaboratrice vicaria</t>
  </si>
  <si>
    <t>collaboratore d.s.</t>
  </si>
  <si>
    <t>Commissione continuità</t>
  </si>
  <si>
    <t>Commissione  L2</t>
  </si>
  <si>
    <t>Referente Invalsi</t>
  </si>
  <si>
    <t xml:space="preserve">Referente formazione Istituto </t>
  </si>
  <si>
    <t>Referente rally matematico primaria/ olimpiadi media</t>
  </si>
  <si>
    <t>Varie</t>
  </si>
  <si>
    <r>
      <t xml:space="preserve">Intensificazione attività musicale, Musica Insieme e </t>
    </r>
    <r>
      <rPr>
        <sz val="10"/>
        <color rgb="FFFF0000"/>
        <rFont val="Comic Sans MS"/>
        <family val="4"/>
      </rPr>
      <t>progetto scenari</t>
    </r>
  </si>
  <si>
    <t>ore</t>
  </si>
  <si>
    <t xml:space="preserve">classi </t>
  </si>
  <si>
    <t>secondaria</t>
  </si>
  <si>
    <t>referente</t>
  </si>
  <si>
    <t>infanzia e primaria</t>
  </si>
  <si>
    <t>doc</t>
  </si>
  <si>
    <t>totale</t>
  </si>
  <si>
    <t>plesso</t>
  </si>
  <si>
    <t>azione</t>
  </si>
  <si>
    <t>Commissione inclusione partecipazione GLIC</t>
  </si>
  <si>
    <t xml:space="preserve">docenti </t>
  </si>
  <si>
    <t>GLIC oltre orario e facoltativi</t>
  </si>
  <si>
    <t>segretari consigli di classe media</t>
  </si>
  <si>
    <t>coordinatori classe scuola media</t>
  </si>
  <si>
    <t>coordinatori di plesso</t>
  </si>
  <si>
    <t xml:space="preserve">segretari interclasse </t>
  </si>
  <si>
    <t xml:space="preserve">commissione orario scuola secondaria </t>
  </si>
  <si>
    <t>differenze</t>
  </si>
  <si>
    <t>residui fis</t>
  </si>
  <si>
    <t>residui ore ecc</t>
  </si>
  <si>
    <t>valmer 2021</t>
  </si>
  <si>
    <t>commissione CV musica</t>
  </si>
  <si>
    <t>Impegno in dad</t>
  </si>
  <si>
    <t>commissione CV ed fisica</t>
  </si>
  <si>
    <t>commissione CV ambiente</t>
  </si>
  <si>
    <t>Progetto alimentazione</t>
  </si>
  <si>
    <t>resp. Turni/posta/gestione carta</t>
  </si>
  <si>
    <t>Intensificazione sostituzione colleghi assenti</t>
  </si>
  <si>
    <t>Intensificazione lavoro agile ass. amm.</t>
  </si>
  <si>
    <t>Intensificazione disagio orario infanzia</t>
  </si>
  <si>
    <t xml:space="preserve">Intensificazione aggravio progetti </t>
  </si>
  <si>
    <t>referenti covid</t>
  </si>
  <si>
    <t>infanzia e primaria (10 ore 1920)</t>
  </si>
  <si>
    <t>agnano (15 ore 1920)</t>
  </si>
  <si>
    <t>secondaria 3 ore per classe 1920)</t>
  </si>
  <si>
    <t>commissione DDI</t>
  </si>
  <si>
    <t>commissione ED CIVICA</t>
  </si>
  <si>
    <t>commissione PTOF</t>
  </si>
  <si>
    <t>commissione VALUTAZIONE PRIMARIA</t>
  </si>
  <si>
    <t>Intensificazione sanificazione COVID</t>
  </si>
  <si>
    <t>gestione diversamente abili/stanza isolamento</t>
  </si>
  <si>
    <t>Recupero/dad scuola primaria</t>
  </si>
  <si>
    <t>referente/sostituzione ds</t>
  </si>
  <si>
    <t>commissione sicurezza (preposti + referenti covid)</t>
  </si>
  <si>
    <t xml:space="preserve">Referente Sport e scuola compagni di banco </t>
  </si>
  <si>
    <t>Intensificazione per colleghi  ìed aggravio lavoro COVID ass. amm.</t>
  </si>
  <si>
    <t>supporto attività DSGA</t>
  </si>
  <si>
    <t>Intensificazione attività musicale, Musica Insieme</t>
  </si>
  <si>
    <t>Fondo delle Istituzioni scolastiche</t>
  </si>
  <si>
    <r>
      <rPr>
        <b/>
        <sz val="10"/>
        <color indexed="8"/>
        <rFont val="Arial"/>
        <family val="2"/>
      </rPr>
      <t>Funzioni Strumentali</t>
    </r>
    <r>
      <rPr>
        <sz val="10"/>
        <rFont val="Arial"/>
        <family val="2"/>
      </rPr>
      <t xml:space="preserve"> all’offerta formativa</t>
    </r>
  </si>
  <si>
    <r>
      <rPr>
        <b/>
        <sz val="10"/>
        <color indexed="8"/>
        <rFont val="Arial"/>
        <family val="2"/>
      </rPr>
      <t>Incarichi Specifici</t>
    </r>
    <r>
      <rPr>
        <sz val="10"/>
        <rFont val="Arial"/>
        <family val="2"/>
      </rPr>
      <t xml:space="preserve"> del personale ATA</t>
    </r>
  </si>
  <si>
    <r>
      <rPr>
        <b/>
        <sz val="10"/>
        <color indexed="8"/>
        <rFont val="Arial"/>
        <family val="2"/>
      </rPr>
      <t>Ore Eccedenti</t>
    </r>
    <r>
      <rPr>
        <sz val="10"/>
        <rFont val="Arial"/>
        <family val="2"/>
      </rPr>
      <t xml:space="preserve"> scuola infanzia/primaria</t>
    </r>
  </si>
  <si>
    <r>
      <rPr>
        <b/>
        <sz val="10"/>
        <color indexed="8"/>
        <rFont val="Arial"/>
        <family val="2"/>
      </rPr>
      <t>Ore Eccedenti</t>
    </r>
    <r>
      <rPr>
        <sz val="10"/>
        <rFont val="Arial"/>
        <family val="2"/>
      </rPr>
      <t xml:space="preserve"> scuola secondaria</t>
    </r>
  </si>
  <si>
    <t>valorizzazione del personale scolastico</t>
  </si>
  <si>
    <r>
      <rPr>
        <b/>
        <sz val="10"/>
        <color indexed="8"/>
        <rFont val="Arial"/>
        <family val="2"/>
      </rPr>
      <t>Aree a rischio</t>
    </r>
    <r>
      <rPr>
        <sz val="10"/>
        <rFont val="Arial"/>
        <family val="2"/>
      </rPr>
      <t>, a forte processo immigratorio</t>
    </r>
  </si>
  <si>
    <t>attività complementari di educazione fisica</t>
  </si>
  <si>
    <t>Totali (lordo dipendente)</t>
  </si>
  <si>
    <t>2022</t>
  </si>
  <si>
    <t>Referente Sport Kids</t>
  </si>
  <si>
    <t>CHIEDERE</t>
  </si>
  <si>
    <t>MANO NELLA MANO???</t>
  </si>
  <si>
    <t>REDISTRIBUIRE</t>
  </si>
  <si>
    <t>Controllo GP studenti</t>
  </si>
  <si>
    <t>Referente Sport Junior</t>
  </si>
  <si>
    <t>Intensificazione per colleghi  ed aggravio lavoro COVID ass. amm.</t>
  </si>
  <si>
    <t xml:space="preserve">Aggiungere tutte le funzioni di controllo gp e sostituzione o aiuto mio Angela, Alessandra Ceccheeti tutti i docenti </t>
  </si>
  <si>
    <t>delegati al controllo per le primarie ed i colaboratori</t>
  </si>
  <si>
    <t>Controllo GP</t>
  </si>
  <si>
    <t>Alessandra</t>
  </si>
  <si>
    <t xml:space="preserve">Differenza </t>
  </si>
  <si>
    <t>% Utilizzazione</t>
  </si>
  <si>
    <t>Totale</t>
  </si>
  <si>
    <t>Massimo</t>
  </si>
  <si>
    <t>avanzo 20/21</t>
  </si>
  <si>
    <t>dot. 21/22</t>
  </si>
  <si>
    <t>tot.</t>
  </si>
  <si>
    <t>GRUPPO SPORTIVO</t>
  </si>
  <si>
    <t>Impegno in dad scuola secondaria</t>
  </si>
  <si>
    <t>II collaboratore d.s.</t>
  </si>
  <si>
    <t>I collaboratore d.s.</t>
  </si>
  <si>
    <t>commissione CV musica (10 ore per referente le altre divise tra tutti ref compreso)</t>
  </si>
  <si>
    <t>economie aapp</t>
  </si>
  <si>
    <t>economie ap ata</t>
  </si>
  <si>
    <t>economie ap doc</t>
  </si>
  <si>
    <t>economie dsga</t>
  </si>
  <si>
    <t>Totale fis doc</t>
  </si>
  <si>
    <t>Totale fis ata</t>
  </si>
  <si>
    <t>a</t>
  </si>
  <si>
    <t xml:space="preserve">MOF. </t>
  </si>
  <si>
    <t>b</t>
  </si>
  <si>
    <t>Funzioni strumentali al POF</t>
  </si>
  <si>
    <t>c</t>
  </si>
  <si>
    <t>Incarichi specifici del personale ATA</t>
  </si>
  <si>
    <r>
      <t>d</t>
    </r>
    <r>
      <rPr>
        <vertAlign val="subscript"/>
        <sz val="12"/>
        <color theme="1"/>
        <rFont val="Times New Roman"/>
        <family val="1"/>
      </rPr>
      <t>1</t>
    </r>
  </si>
  <si>
    <t>Ore eccedenti docenti scuola infanzia e primaria</t>
  </si>
  <si>
    <r>
      <t>d</t>
    </r>
    <r>
      <rPr>
        <vertAlign val="subscript"/>
        <sz val="12"/>
        <color theme="1"/>
        <rFont val="Times New Roman"/>
        <family val="1"/>
      </rPr>
      <t>2</t>
    </r>
  </si>
  <si>
    <t>Ore eccedenti docenti scuola secondaria</t>
  </si>
  <si>
    <t>e</t>
  </si>
  <si>
    <t xml:space="preserve">Attività sportiva </t>
  </si>
  <si>
    <t>f</t>
  </si>
  <si>
    <t>Fondo per la valorizzazione del merito</t>
  </si>
  <si>
    <t>g</t>
  </si>
  <si>
    <t>Totale (a+b+c+d+e+f)</t>
  </si>
  <si>
    <t>h</t>
  </si>
  <si>
    <t>Compensi per aree a rischio a forte processo immigratorio e contro l’emarginazione scolastica</t>
  </si>
  <si>
    <t>i</t>
  </si>
  <si>
    <t xml:space="preserve">Totale (g+h) </t>
  </si>
  <si>
    <t>l</t>
  </si>
  <si>
    <t xml:space="preserve">Economie anno scolastico 2019/20 </t>
  </si>
  <si>
    <t>m</t>
  </si>
  <si>
    <t>TOTALE (i+l)</t>
  </si>
  <si>
    <t>2021/22</t>
  </si>
  <si>
    <t>2019/20</t>
  </si>
  <si>
    <t>2020/21</t>
  </si>
  <si>
    <t>Progetto musica infanzia</t>
  </si>
  <si>
    <t xml:space="preserve">Controllo GP e regolarità gp docenti </t>
  </si>
  <si>
    <t>commissione bullismo e cyberbullismo</t>
  </si>
  <si>
    <t>collaborazione aggiornamento PTOF</t>
  </si>
  <si>
    <t>varie</t>
  </si>
  <si>
    <t>MOF. 2021/22</t>
  </si>
  <si>
    <t>Economie 2019/20</t>
  </si>
  <si>
    <t>Economie DSGA 2020/21</t>
  </si>
  <si>
    <t>Economie ATA 2020/21</t>
  </si>
  <si>
    <t>Economie Docenti 2020/21</t>
  </si>
  <si>
    <t>Ecomonie FFSS 2020/21</t>
  </si>
  <si>
    <t>Economie incarichi specifici</t>
  </si>
  <si>
    <t xml:space="preserve">Ore eccedenti docenti </t>
  </si>
  <si>
    <t xml:space="preserve">Economie Ore eccedenti </t>
  </si>
  <si>
    <t> 1.968,54</t>
  </si>
  <si>
    <t>Economie attività sportiva</t>
  </si>
  <si>
    <t>Fondo per la valorizzazione del merito 2021/22</t>
  </si>
  <si>
    <t>Totale (a1+b1+c1+d1+e1+f1)</t>
  </si>
  <si>
    <r>
      <t> </t>
    </r>
    <r>
      <rPr>
        <b/>
        <sz val="12"/>
        <color rgb="FF000000"/>
        <rFont val="Times New Roman"/>
        <family val="1"/>
      </rPr>
      <t>13.864,24</t>
    </r>
  </si>
  <si>
    <t>Economie aree a rischio</t>
  </si>
  <si>
    <t xml:space="preserve">Totale (g1+h1) </t>
  </si>
  <si>
    <t>Economie anni scolastici precedenti (a 2-5, b2,c2,d2, e2,h2)</t>
  </si>
  <si>
    <r>
      <t> </t>
    </r>
    <r>
      <rPr>
        <b/>
        <sz val="12"/>
        <color rgb="FF000000"/>
        <rFont val="Times New Roman"/>
        <family val="1"/>
      </rPr>
      <t>14.843,76</t>
    </r>
  </si>
  <si>
    <t>Chi erano ????</t>
  </si>
  <si>
    <t>FIS</t>
  </si>
  <si>
    <t>2022/23</t>
  </si>
  <si>
    <t>ANNI PREC.</t>
  </si>
  <si>
    <t>commissione formazione classi</t>
  </si>
  <si>
    <t>Attività curvatura sportiva</t>
  </si>
  <si>
    <t>Docenti</t>
  </si>
  <si>
    <t>FVM</t>
  </si>
  <si>
    <t>organizzazione rally matematico</t>
  </si>
  <si>
    <t>inglese infanzia</t>
  </si>
  <si>
    <t>ATA</t>
  </si>
  <si>
    <t>asciano</t>
  </si>
  <si>
    <t>INDENNITA' DSGA</t>
  </si>
  <si>
    <t>detrazioni</t>
  </si>
  <si>
    <t>commissione sicurezza (PREPOSTI)</t>
  </si>
  <si>
    <t>avanzo anni prec.</t>
  </si>
  <si>
    <t>Progetto musica inf/prim accogl.</t>
  </si>
  <si>
    <t>sostituzione ds glo</t>
  </si>
  <si>
    <t>segretari consigli di classe scuola sec</t>
  </si>
  <si>
    <t>supporto aggiornamento reg scrutini</t>
  </si>
  <si>
    <t>DOCENTI</t>
  </si>
  <si>
    <t>CLASSI</t>
  </si>
  <si>
    <t>ORE</t>
  </si>
  <si>
    <t>segretari intersezione</t>
  </si>
  <si>
    <t>referenti account gbniccolini studenti</t>
  </si>
  <si>
    <t>Recupero scuola secondaria (spagnolo)</t>
  </si>
  <si>
    <t>progetto biblioteca infanzia</t>
  </si>
  <si>
    <t>incarico referente WONDERLAND</t>
  </si>
  <si>
    <t>REFERENTE CURVATURA SPORTIVA</t>
  </si>
  <si>
    <t>CONTINUITA' DIDATTICA</t>
  </si>
  <si>
    <t>FUNZIONI STRUMENTALI</t>
  </si>
  <si>
    <t>INCARICHI SPECIFICI ATA</t>
  </si>
  <si>
    <t>ORE ECCEDENTI SOSTITUZIONI</t>
  </si>
  <si>
    <t>FONDO PER LA VALORIZZAZIONE DEL MERITO</t>
  </si>
  <si>
    <t>ORE totali</t>
  </si>
  <si>
    <t>COMPENSO ORARIO</t>
  </si>
  <si>
    <t>TOTALE</t>
  </si>
  <si>
    <t>docenti impegnati negli open days SEC.</t>
  </si>
  <si>
    <t>Commissione Progetti ed uscite</t>
  </si>
  <si>
    <t>Commissione 0-6</t>
  </si>
  <si>
    <t>ASSISTENTI AMMINISTRATIVI E TECNICI</t>
  </si>
  <si>
    <t>Personale coinvolto</t>
  </si>
  <si>
    <t>Ore per unità di personale</t>
  </si>
  <si>
    <t>Compenso orario</t>
  </si>
  <si>
    <t xml:space="preserve">Importo totale </t>
  </si>
  <si>
    <t>Disponibilità sostituzione colleghi assenti</t>
  </si>
  <si>
    <t>Var.</t>
  </si>
  <si>
    <t>Coordinamento uffici e sostituzioni DSGA</t>
  </si>
  <si>
    <t>Gestione cartellini</t>
  </si>
  <si>
    <t>Pensionamenti e ricalcolo pensioni</t>
  </si>
  <si>
    <t xml:space="preserve">Gestione sostituzioni personale assente </t>
  </si>
  <si>
    <t>Iscrizioni</t>
  </si>
  <si>
    <t>Organico di sostegno</t>
  </si>
  <si>
    <t>Totale FIS e  FVM</t>
  </si>
  <si>
    <t>Incarichi specifici</t>
  </si>
  <si>
    <t xml:space="preserve">Var. </t>
  </si>
  <si>
    <t>COLLABORATORI SCOLASTICI</t>
  </si>
  <si>
    <t>Spostamento su più plessi (scavalco)</t>
  </si>
  <si>
    <t>N.D.</t>
  </si>
  <si>
    <t>Servizio posta</t>
  </si>
  <si>
    <t>Centralino e accoglienza</t>
  </si>
  <si>
    <t xml:space="preserve">N.D. </t>
  </si>
  <si>
    <t>Totale Fis e FVM</t>
  </si>
  <si>
    <t>Incarichi specifici (Assistenza Disabili)</t>
  </si>
  <si>
    <t>sostituzioni orarie</t>
  </si>
  <si>
    <t>commissione matematica 2023</t>
  </si>
  <si>
    <t>assistenza laboratori (D'Andretta dimesso) D'Avino</t>
  </si>
  <si>
    <t>referenti dipartimenti</t>
  </si>
  <si>
    <t>Ore TOTALI</t>
  </si>
  <si>
    <t>Adeguamenti stipendiali/progresioni</t>
  </si>
  <si>
    <t>Pagopa</t>
  </si>
  <si>
    <t>Magazzino</t>
  </si>
  <si>
    <t>Disagio orario per spostamenti per sostituzioni e intensificazioni</t>
  </si>
  <si>
    <t>Assistenza alla persona  H I soccorso (no II.SS)</t>
  </si>
  <si>
    <t>Attivita' mensa</t>
  </si>
  <si>
    <t>Fondo Ore di straordinario</t>
  </si>
  <si>
    <t>Supporto magazzino</t>
  </si>
  <si>
    <t>FIS ATA</t>
  </si>
  <si>
    <t>MERITO ATA</t>
  </si>
  <si>
    <t>FIS+MERITO AA 30%</t>
  </si>
  <si>
    <t>FIS+MERITO CS 70%</t>
  </si>
  <si>
    <t xml:space="preserve">% di utilizzo </t>
  </si>
  <si>
    <t xml:space="preserve">Frutta e latte </t>
  </si>
  <si>
    <t>sorveglianza alunni primaria PN estate</t>
  </si>
  <si>
    <t>comissione valutazione primaria</t>
  </si>
  <si>
    <t>segretari interclasse</t>
  </si>
  <si>
    <t>Invalsi Referente</t>
  </si>
  <si>
    <t>commissione orario scuola secondaria</t>
  </si>
  <si>
    <t xml:space="preserve">assistenza laboratori </t>
  </si>
  <si>
    <t>Differenza</t>
  </si>
  <si>
    <t xml:space="preserve"> Invalsi Referente (2 DOCENTI)</t>
  </si>
  <si>
    <t>La metà dei GLO in cui vengo sostituito</t>
  </si>
  <si>
    <t>Già diminuito di 40 ore rispetto alla proposta iniziale</t>
  </si>
  <si>
    <t>meno di due ore tanto vale non darle</t>
  </si>
  <si>
    <t>non meno perché sono due docenti</t>
  </si>
  <si>
    <t>non meno di così orario secondaria</t>
  </si>
  <si>
    <t>scorso anno</t>
  </si>
  <si>
    <t>DA 19,25 A 38,5 su richiesta</t>
  </si>
  <si>
    <t>+60 inserimento ore di settembre</t>
  </si>
  <si>
    <t>calcolati sulle ore effettive 10*2 docenti e 5 per un docente</t>
  </si>
  <si>
    <t>€/ora</t>
  </si>
  <si>
    <t>open day infanzia</t>
  </si>
  <si>
    <t>stabilito nella riunione di settore</t>
  </si>
  <si>
    <t>non meno di così</t>
  </si>
  <si>
    <t>non meno (D'avino, D'Andretta e Salerno)</t>
  </si>
  <si>
    <t>+30 si deve riunire per rivedere tutti gli obiettivi</t>
  </si>
  <si>
    <t>referente bullismo e cyberbullismo</t>
  </si>
  <si>
    <t>corretto da 75 a 60</t>
  </si>
  <si>
    <t>sostituzioni orarie secondaria</t>
  </si>
  <si>
    <t>9 ore referenti sicurezza</t>
  </si>
  <si>
    <t xml:space="preserve">commissione valutazione modifica giudizi quast'anno per il prossimo </t>
  </si>
  <si>
    <t>wonderland ok non previsto</t>
  </si>
  <si>
    <t>riporto a 10 ore</t>
  </si>
  <si>
    <t>salito da 12 a 15</t>
  </si>
  <si>
    <t>un'ora in più</t>
  </si>
  <si>
    <t>da 8 a 11 qui</t>
  </si>
  <si>
    <t>PRATICA SPORTIVA</t>
  </si>
  <si>
    <t>2025-26</t>
  </si>
  <si>
    <t>Commissioni seminari e attività</t>
  </si>
  <si>
    <t>Commissione bullismo e cyber</t>
  </si>
  <si>
    <t>Commissione valutazione primaria</t>
  </si>
  <si>
    <t>sorveglianza alunni primaria PN estate, ecc.</t>
  </si>
  <si>
    <t>OPEN DAY PRIMRIA???</t>
  </si>
  <si>
    <t>progetto biblioteca infanzia ???</t>
  </si>
  <si>
    <t>possibile spostarlo su pez, problema del pez</t>
  </si>
  <si>
    <t>referenti dipartimenti ?????</t>
  </si>
  <si>
    <t>Recupero scuola secondaria ????</t>
  </si>
</sst>
</file>

<file path=xl/styles.xml><?xml version="1.0" encoding="utf-8"?>
<styleSheet xmlns="http://schemas.openxmlformats.org/spreadsheetml/2006/main">
  <numFmts count="8">
    <numFmt numFmtId="43" formatCode="_-* #,##0.00\ _€_-;\-* #,##0.00\ _€_-;_-* &quot;-&quot;??\ _€_-;_-@_-"/>
    <numFmt numFmtId="164" formatCode="_-* #,##0.00_-;\-* #,##0.00_-;_-* &quot;-&quot;??_-;_-@_-"/>
    <numFmt numFmtId="165" formatCode="[$€-2]\ #,##0.00;[Red]\-[$€-2]\ #,##0.00"/>
    <numFmt numFmtId="166" formatCode="#,##0.00\ [$€-410]"/>
    <numFmt numFmtId="167" formatCode="0.000"/>
    <numFmt numFmtId="168" formatCode="0.0"/>
    <numFmt numFmtId="169" formatCode="_-[$€-2]\ * #,##0.00_-;\-[$€-2]\ * #,##0.00_-;_-[$€-2]\ * &quot;-&quot;??_-"/>
    <numFmt numFmtId="170" formatCode="_-[$€-2]\ * #,##0.00_-;\-[$€-2]\ * #,##0.00_-;_-[$€-2]\ * &quot;-&quot;??_-;_-@_-"/>
  </numFmts>
  <fonts count="35">
    <font>
      <sz val="11"/>
      <color theme="1"/>
      <name val="Calibri"/>
      <family val="2"/>
      <scheme val="minor"/>
    </font>
    <font>
      <sz val="10"/>
      <color theme="1"/>
      <name val="Comic Sans MS"/>
      <family val="4"/>
    </font>
    <font>
      <sz val="10"/>
      <color rgb="FF000000"/>
      <name val="Comic Sans MS"/>
      <family val="4"/>
    </font>
    <font>
      <sz val="10"/>
      <color rgb="FFFF0000"/>
      <name val="Comic Sans MS"/>
      <family val="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color theme="1"/>
      <name val="Comic Sans MS"/>
      <family val="4"/>
    </font>
    <font>
      <sz val="8"/>
      <color theme="1"/>
      <name val="Calibri"/>
      <family val="2"/>
      <scheme val="minor"/>
    </font>
    <font>
      <sz val="8"/>
      <color rgb="FF000000"/>
      <name val="Comic Sans MS"/>
      <family val="4"/>
    </font>
    <font>
      <sz val="8"/>
      <color theme="0"/>
      <name val="Comic Sans MS"/>
      <family val="4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omic Sans MS"/>
      <family val="4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FFFFFF"/>
      <name val="Comic Sans MS"/>
      <family val="4"/>
    </font>
    <font>
      <sz val="9"/>
      <color theme="1"/>
      <name val="Comic Sans MS"/>
      <family val="4"/>
    </font>
    <font>
      <sz val="9"/>
      <color rgb="FF000000"/>
      <name val="Comic Sans MS"/>
      <family val="4"/>
    </font>
    <font>
      <sz val="9"/>
      <color theme="1"/>
      <name val="Calibri"/>
      <family val="2"/>
    </font>
    <font>
      <sz val="11"/>
      <color theme="0"/>
      <name val="Calibri"/>
      <family val="2"/>
      <scheme val="minor"/>
    </font>
    <font>
      <sz val="9"/>
      <name val="Comic Sans MS"/>
      <family val="4"/>
    </font>
    <font>
      <sz val="9"/>
      <color theme="0"/>
      <name val="Comic Sans MS"/>
      <family val="4"/>
    </font>
    <font>
      <sz val="9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BB7E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37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166" fontId="1" fillId="0" borderId="1" xfId="0" applyNumberFormat="1" applyFont="1" applyBorder="1"/>
    <xf numFmtId="2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7" fontId="1" fillId="0" borderId="0" xfId="0" applyNumberFormat="1" applyFont="1"/>
    <xf numFmtId="0" fontId="2" fillId="2" borderId="1" xfId="0" applyFont="1" applyFill="1" applyBorder="1" applyAlignment="1">
      <alignment horizontal="right" vertical="center"/>
    </xf>
    <xf numFmtId="166" fontId="1" fillId="0" borderId="0" xfId="0" applyNumberFormat="1" applyFont="1"/>
    <xf numFmtId="166" fontId="1" fillId="2" borderId="1" xfId="0" applyNumberFormat="1" applyFont="1" applyFill="1" applyBorder="1"/>
    <xf numFmtId="166" fontId="1" fillId="3" borderId="1" xfId="0" applyNumberFormat="1" applyFont="1" applyFill="1" applyBorder="1"/>
    <xf numFmtId="0" fontId="1" fillId="0" borderId="0" xfId="0" applyFont="1" applyBorder="1"/>
    <xf numFmtId="4" fontId="1" fillId="0" borderId="0" xfId="0" applyNumberFormat="1" applyFont="1"/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2" fontId="1" fillId="0" borderId="0" xfId="0" applyNumberFormat="1" applyFont="1" applyFill="1"/>
    <xf numFmtId="0" fontId="1" fillId="0" borderId="0" xfId="0" applyFont="1" applyFill="1" applyBorder="1"/>
    <xf numFmtId="4" fontId="1" fillId="0" borderId="0" xfId="0" applyNumberFormat="1" applyFont="1" applyFill="1"/>
    <xf numFmtId="168" fontId="1" fillId="0" borderId="1" xfId="0" applyNumberFormat="1" applyFont="1" applyFill="1" applyBorder="1" applyAlignment="1">
      <alignment horizontal="center"/>
    </xf>
    <xf numFmtId="168" fontId="1" fillId="0" borderId="1" xfId="0" applyNumberFormat="1" applyFont="1" applyFill="1" applyBorder="1"/>
    <xf numFmtId="168" fontId="1" fillId="0" borderId="0" xfId="0" applyNumberFormat="1" applyFont="1" applyFill="1"/>
    <xf numFmtId="168" fontId="0" fillId="0" borderId="0" xfId="0" applyNumberFormat="1" applyFill="1"/>
    <xf numFmtId="169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1" xfId="1" applyNumberFormat="1" applyFont="1" applyFill="1" applyBorder="1" applyAlignment="1" applyProtection="1">
      <alignment vertical="center"/>
      <protection locked="0"/>
    </xf>
    <xf numFmtId="169" fontId="5" fillId="5" borderId="1" xfId="2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right" vertical="center" wrapText="1"/>
    </xf>
    <xf numFmtId="1" fontId="1" fillId="0" borderId="1" xfId="0" quotePrefix="1" applyNumberFormat="1" applyFont="1" applyFill="1" applyBorder="1" applyAlignment="1">
      <alignment horizontal="center"/>
    </xf>
    <xf numFmtId="0" fontId="1" fillId="6" borderId="1" xfId="0" applyFont="1" applyFill="1" applyBorder="1"/>
    <xf numFmtId="0" fontId="2" fillId="6" borderId="1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168" fontId="1" fillId="6" borderId="1" xfId="0" applyNumberFormat="1" applyFont="1" applyFill="1" applyBorder="1"/>
    <xf numFmtId="0" fontId="1" fillId="6" borderId="4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168" fontId="3" fillId="0" borderId="1" xfId="0" applyNumberFormat="1" applyFont="1" applyFill="1" applyBorder="1"/>
    <xf numFmtId="0" fontId="3" fillId="0" borderId="4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vertical="center"/>
    </xf>
    <xf numFmtId="168" fontId="3" fillId="6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2" fontId="0" fillId="0" borderId="0" xfId="0" applyNumberFormat="1" applyFill="1"/>
    <xf numFmtId="0" fontId="1" fillId="0" borderId="1" xfId="0" applyFont="1" applyFill="1" applyBorder="1" applyAlignment="1"/>
    <xf numFmtId="1" fontId="1" fillId="0" borderId="0" xfId="0" applyNumberFormat="1" applyFont="1" applyFill="1" applyBorder="1" applyAlignment="1">
      <alignment horizontal="center"/>
    </xf>
    <xf numFmtId="168" fontId="1" fillId="0" borderId="0" xfId="0" applyNumberFormat="1" applyFont="1" applyFill="1" applyBorder="1"/>
    <xf numFmtId="0" fontId="0" fillId="0" borderId="1" xfId="0" applyFill="1" applyBorder="1"/>
    <xf numFmtId="1" fontId="1" fillId="0" borderId="1" xfId="0" applyNumberFormat="1" applyFont="1" applyFill="1" applyBorder="1" applyAlignment="1"/>
    <xf numFmtId="2" fontId="0" fillId="0" borderId="1" xfId="0" applyNumberFormat="1" applyFill="1" applyBorder="1"/>
    <xf numFmtId="0" fontId="1" fillId="2" borderId="1" xfId="0" applyFont="1" applyFill="1" applyBorder="1"/>
    <xf numFmtId="0" fontId="2" fillId="2" borderId="4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169" fontId="5" fillId="7" borderId="1" xfId="0" applyNumberFormat="1" applyFont="1" applyFill="1" applyBorder="1" applyAlignment="1" applyProtection="1">
      <alignment horizontal="center" vertical="center"/>
      <protection locked="0"/>
    </xf>
    <xf numFmtId="2" fontId="1" fillId="8" borderId="0" xfId="0" applyNumberFormat="1" applyFont="1" applyFill="1"/>
    <xf numFmtId="0" fontId="0" fillId="0" borderId="0" xfId="0" applyFill="1" applyBorder="1"/>
    <xf numFmtId="0" fontId="0" fillId="8" borderId="0" xfId="0" applyFill="1"/>
    <xf numFmtId="0" fontId="7" fillId="0" borderId="0" xfId="0" applyFont="1" applyBorder="1" applyAlignment="1" applyProtection="1">
      <alignment vertical="center" wrapText="1"/>
    </xf>
    <xf numFmtId="169" fontId="5" fillId="2" borderId="0" xfId="0" applyNumberFormat="1" applyFont="1" applyFill="1" applyBorder="1" applyAlignment="1" applyProtection="1">
      <alignment horizontal="center" vertical="center"/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168" fontId="0" fillId="2" borderId="1" xfId="0" applyNumberFormat="1" applyFill="1" applyBorder="1"/>
    <xf numFmtId="0" fontId="9" fillId="0" borderId="1" xfId="0" applyFont="1" applyBorder="1" applyAlignment="1">
      <alignment horizontal="justify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Fill="1" applyBorder="1"/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justify" vertical="top" wrapText="1"/>
    </xf>
    <xf numFmtId="4" fontId="11" fillId="0" borderId="1" xfId="0" applyNumberFormat="1" applyFont="1" applyBorder="1" applyAlignment="1">
      <alignment horizontal="right" vertical="top" wrapText="1"/>
    </xf>
    <xf numFmtId="2" fontId="1" fillId="7" borderId="0" xfId="0" applyNumberFormat="1" applyFont="1" applyFill="1"/>
    <xf numFmtId="2" fontId="0" fillId="7" borderId="0" xfId="0" applyNumberFormat="1" applyFill="1"/>
    <xf numFmtId="2" fontId="1" fillId="4" borderId="0" xfId="0" applyNumberFormat="1" applyFont="1" applyFill="1"/>
    <xf numFmtId="0" fontId="2" fillId="0" borderId="1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4" fontId="14" fillId="0" borderId="11" xfId="0" applyNumberFormat="1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2" fontId="0" fillId="0" borderId="0" xfId="0" applyNumberFormat="1" applyFill="1" applyBorder="1"/>
    <xf numFmtId="168" fontId="1" fillId="0" borderId="2" xfId="0" applyNumberFormat="1" applyFont="1" applyFill="1" applyBorder="1"/>
    <xf numFmtId="168" fontId="3" fillId="0" borderId="2" xfId="0" applyNumberFormat="1" applyFont="1" applyFill="1" applyBorder="1"/>
    <xf numFmtId="168" fontId="1" fillId="2" borderId="2" xfId="0" applyNumberFormat="1" applyFont="1" applyFill="1" applyBorder="1"/>
    <xf numFmtId="2" fontId="0" fillId="0" borderId="2" xfId="0" applyNumberFormat="1" applyFill="1" applyBorder="1"/>
    <xf numFmtId="2" fontId="1" fillId="0" borderId="0" xfId="0" applyNumberFormat="1" applyFont="1" applyFill="1" applyBorder="1"/>
    <xf numFmtId="0" fontId="13" fillId="0" borderId="0" xfId="0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4" fontId="14" fillId="0" borderId="10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12" fillId="0" borderId="10" xfId="0" applyFont="1" applyBorder="1" applyAlignment="1">
      <alignment wrapText="1"/>
    </xf>
    <xf numFmtId="4" fontId="12" fillId="0" borderId="13" xfId="0" applyNumberFormat="1" applyFont="1" applyBorder="1" applyAlignment="1">
      <alignment horizontal="right" wrapText="1"/>
    </xf>
    <xf numFmtId="0" fontId="0" fillId="0" borderId="13" xfId="0" applyBorder="1"/>
    <xf numFmtId="0" fontId="12" fillId="0" borderId="11" xfId="0" applyFont="1" applyBorder="1" applyAlignment="1">
      <alignment wrapText="1"/>
    </xf>
    <xf numFmtId="0" fontId="12" fillId="0" borderId="12" xfId="0" applyFont="1" applyBorder="1" applyAlignment="1">
      <alignment horizontal="right" wrapText="1"/>
    </xf>
    <xf numFmtId="4" fontId="12" fillId="0" borderId="12" xfId="0" applyNumberFormat="1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4" fontId="12" fillId="0" borderId="12" xfId="0" applyNumberFormat="1" applyFont="1" applyBorder="1" applyAlignment="1">
      <alignment horizontal="right" wrapText="1"/>
    </xf>
    <xf numFmtId="4" fontId="15" fillId="0" borderId="12" xfId="0" applyNumberFormat="1" applyFont="1" applyBorder="1" applyAlignment="1">
      <alignment horizontal="right" wrapText="1"/>
    </xf>
    <xf numFmtId="0" fontId="0" fillId="0" borderId="12" xfId="0" applyBorder="1" applyAlignment="1">
      <alignment wrapText="1"/>
    </xf>
    <xf numFmtId="0" fontId="15" fillId="0" borderId="11" xfId="0" applyFont="1" applyBorder="1" applyAlignment="1">
      <alignment wrapText="1"/>
    </xf>
    <xf numFmtId="4" fontId="0" fillId="0" borderId="0" xfId="0" applyNumberFormat="1" applyFill="1"/>
    <xf numFmtId="0" fontId="2" fillId="0" borderId="1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0" fillId="0" borderId="1" xfId="0" applyFill="1" applyBorder="1" applyAlignment="1"/>
    <xf numFmtId="0" fontId="0" fillId="0" borderId="1" xfId="0" applyBorder="1" applyAlignment="1"/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/>
    </xf>
    <xf numFmtId="167" fontId="1" fillId="0" borderId="0" xfId="0" applyNumberFormat="1" applyFont="1" applyFill="1"/>
    <xf numFmtId="165" fontId="1" fillId="0" borderId="1" xfId="0" applyNumberFormat="1" applyFont="1" applyFill="1" applyBorder="1" applyAlignment="1">
      <alignment vertical="center"/>
    </xf>
    <xf numFmtId="166" fontId="1" fillId="0" borderId="1" xfId="0" applyNumberFormat="1" applyFont="1" applyFill="1" applyBorder="1"/>
    <xf numFmtId="165" fontId="2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1" xfId="0" applyBorder="1"/>
    <xf numFmtId="4" fontId="21" fillId="0" borderId="0" xfId="0" applyNumberFormat="1" applyFont="1"/>
    <xf numFmtId="4" fontId="21" fillId="0" borderId="1" xfId="0" applyNumberFormat="1" applyFont="1" applyBorder="1"/>
    <xf numFmtId="4" fontId="21" fillId="0" borderId="1" xfId="0" applyNumberFormat="1" applyFont="1" applyFill="1" applyBorder="1"/>
    <xf numFmtId="2" fontId="21" fillId="0" borderId="1" xfId="0" applyNumberFormat="1" applyFont="1" applyBorder="1"/>
    <xf numFmtId="4" fontId="21" fillId="0" borderId="1" xfId="0" applyNumberFormat="1" applyFont="1" applyBorder="1" applyAlignment="1">
      <alignment horizontal="center"/>
    </xf>
    <xf numFmtId="4" fontId="22" fillId="0" borderId="1" xfId="0" applyNumberFormat="1" applyFont="1" applyFill="1" applyBorder="1"/>
    <xf numFmtId="10" fontId="23" fillId="0" borderId="1" xfId="0" applyNumberFormat="1" applyFont="1" applyFill="1" applyBorder="1"/>
    <xf numFmtId="0" fontId="22" fillId="0" borderId="1" xfId="0" applyFont="1" applyFill="1" applyBorder="1" applyAlignment="1">
      <alignment horizontal="center" textRotation="90"/>
    </xf>
    <xf numFmtId="0" fontId="17" fillId="0" borderId="1" xfId="0" applyFont="1" applyBorder="1"/>
    <xf numFmtId="0" fontId="17" fillId="0" borderId="0" xfId="0" applyFont="1"/>
    <xf numFmtId="4" fontId="21" fillId="7" borderId="1" xfId="0" applyNumberFormat="1" applyFont="1" applyFill="1" applyBorder="1"/>
    <xf numFmtId="0" fontId="17" fillId="0" borderId="1" xfId="0" applyFont="1" applyFill="1" applyBorder="1"/>
    <xf numFmtId="0" fontId="24" fillId="0" borderId="0" xfId="0" applyFont="1"/>
    <xf numFmtId="4" fontId="17" fillId="0" borderId="0" xfId="0" applyNumberFormat="1" applyFont="1"/>
    <xf numFmtId="4" fontId="22" fillId="4" borderId="1" xfId="0" applyNumberFormat="1" applyFont="1" applyFill="1" applyBorder="1"/>
    <xf numFmtId="0" fontId="11" fillId="0" borderId="16" xfId="0" applyFont="1" applyBorder="1" applyAlignment="1">
      <alignment horizontal="center" textRotation="90" wrapText="1"/>
    </xf>
    <xf numFmtId="0" fontId="11" fillId="0" borderId="16" xfId="0" applyFont="1" applyBorder="1" applyAlignment="1">
      <alignment horizontal="right" wrapText="1" indent="1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4" fontId="9" fillId="11" borderId="17" xfId="0" applyNumberFormat="1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right"/>
    </xf>
    <xf numFmtId="10" fontId="24" fillId="0" borderId="0" xfId="0" applyNumberFormat="1" applyFont="1"/>
    <xf numFmtId="0" fontId="16" fillId="0" borderId="13" xfId="0" applyFont="1" applyBorder="1" applyAlignment="1">
      <alignment horizontal="center" textRotation="90"/>
    </xf>
    <xf numFmtId="4" fontId="24" fillId="0" borderId="0" xfId="0" applyNumberFormat="1" applyFont="1"/>
    <xf numFmtId="0" fontId="22" fillId="4" borderId="1" xfId="0" applyFont="1" applyFill="1" applyBorder="1" applyAlignment="1">
      <alignment horizontal="right" vertical="center"/>
    </xf>
    <xf numFmtId="1" fontId="22" fillId="4" borderId="1" xfId="0" applyNumberFormat="1" applyFont="1" applyFill="1" applyBorder="1"/>
    <xf numFmtId="2" fontId="22" fillId="4" borderId="1" xfId="0" applyNumberFormat="1" applyFont="1" applyFill="1" applyBorder="1"/>
    <xf numFmtId="0" fontId="22" fillId="4" borderId="1" xfId="0" applyFont="1" applyFill="1" applyBorder="1" applyAlignment="1">
      <alignment horizontal="right"/>
    </xf>
    <xf numFmtId="0" fontId="0" fillId="0" borderId="10" xfId="0" applyBorder="1"/>
    <xf numFmtId="0" fontId="18" fillId="0" borderId="13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7" fillId="9" borderId="12" xfId="0" applyFont="1" applyFill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0" fillId="0" borderId="12" xfId="0" applyBorder="1"/>
    <xf numFmtId="0" fontId="28" fillId="12" borderId="12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9" fillId="10" borderId="12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center"/>
    </xf>
    <xf numFmtId="0" fontId="0" fillId="0" borderId="11" xfId="0" applyBorder="1"/>
    <xf numFmtId="0" fontId="29" fillId="0" borderId="12" xfId="0" applyFont="1" applyBorder="1" applyAlignment="1">
      <alignment horizontal="center"/>
    </xf>
    <xf numFmtId="0" fontId="28" fillId="4" borderId="12" xfId="0" applyFont="1" applyFill="1" applyBorder="1" applyAlignment="1">
      <alignment horizontal="center"/>
    </xf>
    <xf numFmtId="4" fontId="28" fillId="0" borderId="12" xfId="0" applyNumberFormat="1" applyFont="1" applyBorder="1" applyAlignment="1">
      <alignment horizontal="right"/>
    </xf>
    <xf numFmtId="10" fontId="30" fillId="0" borderId="11" xfId="0" applyNumberFormat="1" applyFont="1" applyBorder="1" applyAlignment="1">
      <alignment horizontal="right"/>
    </xf>
    <xf numFmtId="2" fontId="22" fillId="3" borderId="1" xfId="0" applyNumberFormat="1" applyFont="1" applyFill="1" applyBorder="1"/>
    <xf numFmtId="0" fontId="22" fillId="3" borderId="1" xfId="0" applyFont="1" applyFill="1" applyBorder="1" applyAlignment="1">
      <alignment horizontal="right" vertical="center"/>
    </xf>
    <xf numFmtId="1" fontId="22" fillId="3" borderId="1" xfId="0" applyNumberFormat="1" applyFont="1" applyFill="1" applyBorder="1"/>
    <xf numFmtId="0" fontId="22" fillId="7" borderId="1" xfId="0" applyFont="1" applyFill="1" applyBorder="1" applyAlignment="1">
      <alignment horizontal="right" vertical="center"/>
    </xf>
    <xf numFmtId="1" fontId="22" fillId="7" borderId="1" xfId="0" applyNumberFormat="1" applyFont="1" applyFill="1" applyBorder="1"/>
    <xf numFmtId="2" fontId="22" fillId="7" borderId="1" xfId="0" applyNumberFormat="1" applyFont="1" applyFill="1" applyBorder="1"/>
    <xf numFmtId="0" fontId="0" fillId="7" borderId="0" xfId="0" applyFill="1"/>
    <xf numFmtId="2" fontId="22" fillId="13" borderId="25" xfId="0" applyNumberFormat="1" applyFont="1" applyFill="1" applyBorder="1" applyAlignment="1"/>
    <xf numFmtId="2" fontId="22" fillId="13" borderId="7" xfId="0" applyNumberFormat="1" applyFont="1" applyFill="1" applyBorder="1" applyAlignment="1"/>
    <xf numFmtId="2" fontId="22" fillId="13" borderId="22" xfId="0" applyNumberFormat="1" applyFont="1" applyFill="1" applyBorder="1" applyAlignment="1"/>
    <xf numFmtId="2" fontId="22" fillId="13" borderId="5" xfId="0" applyNumberFormat="1" applyFont="1" applyFill="1" applyBorder="1" applyAlignment="1"/>
    <xf numFmtId="0" fontId="0" fillId="13" borderId="22" xfId="0" applyFill="1" applyBorder="1" applyAlignment="1"/>
    <xf numFmtId="0" fontId="0" fillId="13" borderId="5" xfId="0" applyFill="1" applyBorder="1" applyAlignment="1"/>
    <xf numFmtId="0" fontId="28" fillId="7" borderId="12" xfId="0" applyFont="1" applyFill="1" applyBorder="1" applyAlignment="1">
      <alignment horizontal="center"/>
    </xf>
    <xf numFmtId="2" fontId="25" fillId="0" borderId="0" xfId="0" applyNumberFormat="1" applyFont="1"/>
    <xf numFmtId="2" fontId="25" fillId="0" borderId="0" xfId="0" applyNumberFormat="1" applyFont="1" applyAlignment="1">
      <alignment horizontal="right"/>
    </xf>
    <xf numFmtId="0" fontId="26" fillId="0" borderId="24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/>
    </xf>
    <xf numFmtId="0" fontId="33" fillId="9" borderId="12" xfId="0" applyFont="1" applyFill="1" applyBorder="1" applyAlignment="1">
      <alignment horizontal="center"/>
    </xf>
    <xf numFmtId="0" fontId="17" fillId="0" borderId="0" xfId="0" applyFont="1" applyFill="1"/>
    <xf numFmtId="0" fontId="26" fillId="0" borderId="20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0" fillId="0" borderId="20" xfId="0" applyFill="1" applyBorder="1"/>
    <xf numFmtId="0" fontId="26" fillId="0" borderId="10" xfId="0" applyFont="1" applyBorder="1" applyAlignment="1">
      <alignment horizontal="center"/>
    </xf>
    <xf numFmtId="0" fontId="28" fillId="4" borderId="10" xfId="0" applyFont="1" applyFill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12" borderId="10" xfId="0" applyFont="1" applyFill="1" applyBorder="1" applyAlignment="1">
      <alignment horizontal="center"/>
    </xf>
    <xf numFmtId="0" fontId="28" fillId="7" borderId="10" xfId="0" applyFont="1" applyFill="1" applyBorder="1" applyAlignment="1">
      <alignment horizontal="center"/>
    </xf>
    <xf numFmtId="0" fontId="33" fillId="9" borderId="10" xfId="0" applyFont="1" applyFill="1" applyBorder="1" applyAlignment="1">
      <alignment horizontal="center"/>
    </xf>
    <xf numFmtId="0" fontId="20" fillId="0" borderId="0" xfId="0" applyFont="1" applyFill="1"/>
    <xf numFmtId="0" fontId="33" fillId="0" borderId="20" xfId="0" applyFont="1" applyFill="1" applyBorder="1" applyAlignment="1">
      <alignment horizontal="center"/>
    </xf>
    <xf numFmtId="0" fontId="34" fillId="0" borderId="20" xfId="0" applyFont="1" applyFill="1" applyBorder="1" applyAlignment="1">
      <alignment horizontal="center"/>
    </xf>
    <xf numFmtId="0" fontId="31" fillId="0" borderId="20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0" xfId="0" applyFont="1" applyFill="1" applyAlignment="1"/>
    <xf numFmtId="170" fontId="1" fillId="0" borderId="0" xfId="0" applyNumberFormat="1" applyFont="1" applyFill="1" applyAlignment="1"/>
    <xf numFmtId="0" fontId="2" fillId="0" borderId="1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ill="1" applyBorder="1" applyAlignment="1"/>
    <xf numFmtId="0" fontId="0" fillId="0" borderId="1" xfId="0" applyBorder="1" applyAlignment="1"/>
    <xf numFmtId="0" fontId="1" fillId="7" borderId="2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Alignment="1"/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26" fillId="0" borderId="24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9" fillId="0" borderId="21" xfId="0" applyFont="1" applyBorder="1"/>
    <xf numFmtId="0" fontId="29" fillId="0" borderId="20" xfId="0" applyFont="1" applyBorder="1"/>
    <xf numFmtId="0" fontId="29" fillId="0" borderId="13" xfId="0" applyFont="1" applyBorder="1"/>
    <xf numFmtId="0" fontId="26" fillId="0" borderId="21" xfId="0" applyFont="1" applyBorder="1"/>
    <xf numFmtId="0" fontId="26" fillId="0" borderId="20" xfId="0" applyFont="1" applyBorder="1"/>
    <xf numFmtId="0" fontId="26" fillId="0" borderId="13" xfId="0" applyFont="1" applyBorder="1"/>
    <xf numFmtId="0" fontId="0" fillId="0" borderId="21" xfId="0" applyBorder="1"/>
    <xf numFmtId="0" fontId="0" fillId="0" borderId="20" xfId="0" applyBorder="1"/>
    <xf numFmtId="0" fontId="0" fillId="0" borderId="13" xfId="0" applyBorder="1"/>
    <xf numFmtId="0" fontId="24" fillId="0" borderId="18" xfId="0" applyFont="1" applyBorder="1" applyAlignment="1"/>
    <xf numFmtId="0" fontId="0" fillId="0" borderId="19" xfId="0" applyBorder="1" applyAlignment="1"/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6" fillId="0" borderId="2" xfId="0" applyFont="1" applyFill="1" applyBorder="1" applyAlignment="1"/>
    <xf numFmtId="0" fontId="17" fillId="0" borderId="3" xfId="0" applyFont="1" applyBorder="1" applyAlignment="1"/>
    <xf numFmtId="0" fontId="18" fillId="0" borderId="2" xfId="0" applyFont="1" applyFill="1" applyBorder="1" applyAlignment="1"/>
    <xf numFmtId="0" fontId="18" fillId="0" borderId="3" xfId="0" applyFont="1" applyFill="1" applyBorder="1" applyAlignment="1"/>
    <xf numFmtId="0" fontId="17" fillId="0" borderId="2" xfId="0" applyFont="1" applyFill="1" applyBorder="1" applyAlignment="1"/>
    <xf numFmtId="0" fontId="17" fillId="0" borderId="3" xfId="0" applyFont="1" applyFill="1" applyBorder="1" applyAlignment="1"/>
    <xf numFmtId="2" fontId="22" fillId="0" borderId="2" xfId="0" applyNumberFormat="1" applyFont="1" applyFill="1" applyBorder="1" applyAlignment="1"/>
    <xf numFmtId="2" fontId="22" fillId="0" borderId="4" xfId="0" applyNumberFormat="1" applyFont="1" applyFill="1" applyBorder="1" applyAlignment="1"/>
    <xf numFmtId="0" fontId="0" fillId="13" borderId="26" xfId="0" applyFill="1" applyBorder="1" applyAlignment="1"/>
    <xf numFmtId="0" fontId="0" fillId="13" borderId="9" xfId="0" applyFill="1" applyBorder="1" applyAlignment="1"/>
    <xf numFmtId="0" fontId="19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2" fontId="22" fillId="13" borderId="1" xfId="0" applyNumberFormat="1" applyFont="1" applyFill="1" applyBorder="1" applyAlignment="1"/>
    <xf numFmtId="0" fontId="19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2" fontId="22" fillId="0" borderId="1" xfId="0" applyNumberFormat="1" applyFont="1" applyFill="1" applyBorder="1" applyAlignment="1"/>
    <xf numFmtId="0" fontId="20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left" vertical="center"/>
    </xf>
    <xf numFmtId="0" fontId="0" fillId="13" borderId="22" xfId="0" applyFill="1" applyBorder="1" applyAlignment="1"/>
    <xf numFmtId="0" fontId="0" fillId="13" borderId="5" xfId="0" applyFill="1" applyBorder="1" applyAlignment="1"/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22" fillId="13" borderId="1" xfId="0" applyFont="1" applyFill="1" applyBorder="1" applyAlignment="1"/>
    <xf numFmtId="0" fontId="19" fillId="7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0" fillId="13" borderId="1" xfId="0" applyFill="1" applyBorder="1" applyAlignment="1"/>
    <xf numFmtId="2" fontId="22" fillId="7" borderId="2" xfId="0" quotePrefix="1" applyNumberFormat="1" applyFont="1" applyFill="1" applyBorder="1" applyAlignment="1"/>
    <xf numFmtId="0" fontId="0" fillId="0" borderId="4" xfId="0" applyBorder="1" applyAlignment="1"/>
    <xf numFmtId="0" fontId="17" fillId="0" borderId="22" xfId="0" applyFont="1" applyBorder="1" applyAlignment="1"/>
    <xf numFmtId="0" fontId="17" fillId="0" borderId="5" xfId="0" applyFont="1" applyBorder="1" applyAlignment="1"/>
    <xf numFmtId="0" fontId="19" fillId="7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2" fontId="22" fillId="0" borderId="25" xfId="0" applyNumberFormat="1" applyFont="1" applyFill="1" applyBorder="1" applyAlignment="1"/>
    <xf numFmtId="0" fontId="0" fillId="0" borderId="7" xfId="0" applyFill="1" applyBorder="1" applyAlignment="1"/>
    <xf numFmtId="2" fontId="22" fillId="7" borderId="2" xfId="0" applyNumberFormat="1" applyFont="1" applyFill="1" applyBorder="1" applyAlignment="1"/>
    <xf numFmtId="0" fontId="16" fillId="7" borderId="1" xfId="0" applyFont="1" applyFill="1" applyBorder="1" applyAlignment="1">
      <alignment vertical="center"/>
    </xf>
    <xf numFmtId="0" fontId="17" fillId="7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2" fontId="24" fillId="0" borderId="0" xfId="0" applyNumberFormat="1" applyFont="1"/>
    <xf numFmtId="4" fontId="12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4" fontId="24" fillId="0" borderId="0" xfId="0" applyNumberFormat="1" applyFont="1" applyFill="1" applyBorder="1"/>
    <xf numFmtId="10" fontId="24" fillId="0" borderId="0" xfId="0" applyNumberFormat="1" applyFont="1" applyFill="1" applyBorder="1"/>
  </cellXfs>
  <cellStyles count="3">
    <cellStyle name="Euro 2" xfId="2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BB7EC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9"/>
  <sheetViews>
    <sheetView view="pageBreakPreview" zoomScaleNormal="100" zoomScaleSheetLayoutView="100" workbookViewId="0">
      <selection sqref="A1:AA83"/>
    </sheetView>
  </sheetViews>
  <sheetFormatPr defaultRowHeight="15"/>
  <cols>
    <col min="1" max="1" width="3.5703125" style="29" customWidth="1"/>
    <col min="2" max="3" width="9.140625" style="29"/>
    <col min="4" max="4" width="32.42578125" style="29" customWidth="1"/>
    <col min="5" max="5" width="5.42578125" style="29" customWidth="1"/>
    <col min="6" max="6" width="4.140625" style="29" customWidth="1"/>
    <col min="7" max="7" width="3.85546875" style="29" customWidth="1"/>
    <col min="8" max="9" width="2" style="29" customWidth="1"/>
    <col min="10" max="10" width="8" style="29" customWidth="1"/>
    <col min="11" max="11" width="4.28515625" style="62" customWidth="1"/>
    <col min="12" max="12" width="9.28515625" style="45" customWidth="1"/>
    <col min="13" max="13" width="41.28515625" style="29" customWidth="1"/>
    <col min="14" max="15" width="14.140625" style="29" customWidth="1"/>
    <col min="16" max="20" width="14.140625" style="77" customWidth="1"/>
    <col min="21" max="21" width="14.140625" style="29" customWidth="1"/>
    <col min="22" max="22" width="24" style="29" customWidth="1"/>
    <col min="23" max="23" width="44.28515625" style="29" customWidth="1"/>
    <col min="24" max="24" width="9.7109375" style="29" bestFit="1" customWidth="1"/>
    <col min="25" max="25" width="9.140625" style="29"/>
    <col min="26" max="26" width="12.28515625" style="29" customWidth="1"/>
    <col min="27" max="16384" width="9.140625" style="29"/>
  </cols>
  <sheetData>
    <row r="1" spans="1:27" ht="15" customHeight="1">
      <c r="A1" s="259" t="s">
        <v>0</v>
      </c>
      <c r="B1" s="259"/>
      <c r="C1" s="259"/>
      <c r="D1" s="260"/>
      <c r="E1" s="26" t="s">
        <v>26</v>
      </c>
      <c r="F1" s="26" t="s">
        <v>27</v>
      </c>
      <c r="G1" s="26" t="s">
        <v>31</v>
      </c>
      <c r="H1" s="26" t="s">
        <v>33</v>
      </c>
      <c r="I1" s="26" t="s">
        <v>34</v>
      </c>
      <c r="J1" s="27"/>
      <c r="K1" s="52" t="s">
        <v>83</v>
      </c>
      <c r="L1" s="42"/>
      <c r="N1" s="29" t="s">
        <v>99</v>
      </c>
      <c r="O1" s="29" t="s">
        <v>100</v>
      </c>
      <c r="P1" s="77" t="s">
        <v>101</v>
      </c>
      <c r="U1" s="81"/>
      <c r="V1" s="81"/>
      <c r="W1" s="81" t="s">
        <v>137</v>
      </c>
      <c r="X1" s="81" t="s">
        <v>138</v>
      </c>
      <c r="Y1" s="284" t="s">
        <v>139</v>
      </c>
      <c r="Z1" s="284"/>
      <c r="AA1" s="285"/>
    </row>
    <row r="2" spans="1:27" ht="15" customHeight="1">
      <c r="A2" s="30">
        <v>1</v>
      </c>
      <c r="B2" s="261" t="s">
        <v>73</v>
      </c>
      <c r="C2" s="261"/>
      <c r="D2" s="261"/>
      <c r="E2" s="31">
        <v>0</v>
      </c>
      <c r="F2" s="32"/>
      <c r="G2" s="31"/>
      <c r="H2" s="33"/>
      <c r="I2" s="64">
        <v>1</v>
      </c>
      <c r="J2" s="34">
        <v>17.5</v>
      </c>
      <c r="K2" s="60">
        <f>E2*I2</f>
        <v>0</v>
      </c>
      <c r="L2" s="43">
        <f t="shared" ref="L2:L15" si="0">K2*J2</f>
        <v>0</v>
      </c>
      <c r="M2" s="49" t="s">
        <v>74</v>
      </c>
      <c r="N2" s="46">
        <f>SUM(N6+N9)</f>
        <v>1952.08</v>
      </c>
      <c r="O2" s="47">
        <v>55303.11</v>
      </c>
      <c r="P2" s="39">
        <f>N2+O2</f>
        <v>57255.19</v>
      </c>
      <c r="Q2" s="39">
        <v>5296.37</v>
      </c>
      <c r="R2" s="77">
        <f>P2-Q2</f>
        <v>51958.82</v>
      </c>
      <c r="S2" s="39">
        <v>0.72</v>
      </c>
      <c r="T2" s="39">
        <f>R2*S2</f>
        <v>37410.350399999996</v>
      </c>
      <c r="U2" s="98" t="s">
        <v>113</v>
      </c>
      <c r="V2" s="98" t="s">
        <v>114</v>
      </c>
      <c r="W2" s="99">
        <v>55303.11</v>
      </c>
      <c r="X2" s="100">
        <v>1286.48</v>
      </c>
      <c r="Y2" s="81">
        <v>665.6</v>
      </c>
      <c r="Z2" s="81">
        <f>N7</f>
        <v>1187.5</v>
      </c>
    </row>
    <row r="3" spans="1:27" ht="15" customHeight="1">
      <c r="A3" s="30">
        <v>2</v>
      </c>
      <c r="B3" s="286" t="s">
        <v>140</v>
      </c>
      <c r="C3" s="274"/>
      <c r="D3" s="275"/>
      <c r="E3" s="31">
        <v>30</v>
      </c>
      <c r="F3" s="32"/>
      <c r="G3" s="31"/>
      <c r="H3" s="33"/>
      <c r="I3" s="64">
        <v>1</v>
      </c>
      <c r="J3" s="34">
        <v>17.5</v>
      </c>
      <c r="K3" s="60">
        <f>E3*I3</f>
        <v>30</v>
      </c>
      <c r="L3" s="43">
        <f t="shared" ref="L3" si="1">K3*J3</f>
        <v>525</v>
      </c>
      <c r="M3" s="49"/>
      <c r="N3" s="46"/>
      <c r="O3" s="47"/>
      <c r="P3" s="39"/>
      <c r="Q3" s="39"/>
      <c r="S3" s="39"/>
      <c r="T3" s="39"/>
      <c r="U3" s="98"/>
      <c r="V3" s="98"/>
      <c r="W3" s="99"/>
      <c r="X3" s="100"/>
      <c r="Y3" s="92"/>
      <c r="Z3" s="81"/>
    </row>
    <row r="4" spans="1:27" ht="15" customHeight="1">
      <c r="A4" s="30">
        <v>3</v>
      </c>
      <c r="B4" s="262" t="s">
        <v>12</v>
      </c>
      <c r="C4" s="262"/>
      <c r="D4" s="262"/>
      <c r="E4" s="64">
        <v>30</v>
      </c>
      <c r="F4" s="32"/>
      <c r="G4" s="31"/>
      <c r="H4" s="33"/>
      <c r="I4" s="31">
        <v>1</v>
      </c>
      <c r="J4" s="34">
        <v>17.5</v>
      </c>
      <c r="K4" s="60">
        <f t="shared" ref="K4:K6" si="2">E4*I4</f>
        <v>30</v>
      </c>
      <c r="L4" s="43">
        <f t="shared" si="0"/>
        <v>525</v>
      </c>
      <c r="M4" s="49" t="s">
        <v>79</v>
      </c>
      <c r="N4" s="46"/>
      <c r="O4" s="47">
        <v>14952.85</v>
      </c>
      <c r="P4" s="39">
        <f t="shared" ref="P4:R4" si="3">N4+O4</f>
        <v>14952.85</v>
      </c>
      <c r="Q4" s="39"/>
      <c r="R4" s="39">
        <f t="shared" si="3"/>
        <v>14952.85</v>
      </c>
      <c r="S4" s="39">
        <v>0.7</v>
      </c>
      <c r="T4" s="39">
        <f>R4*S4</f>
        <v>10466.994999999999</v>
      </c>
      <c r="U4" s="98"/>
      <c r="V4" s="98"/>
      <c r="W4" s="99"/>
      <c r="X4" s="100"/>
      <c r="Z4" s="81">
        <f>N8</f>
        <v>7717.5</v>
      </c>
      <c r="AA4" s="81"/>
    </row>
    <row r="5" spans="1:27" ht="15" customHeight="1">
      <c r="A5" s="30">
        <v>3</v>
      </c>
      <c r="B5" s="262" t="s">
        <v>84</v>
      </c>
      <c r="C5" s="262"/>
      <c r="D5" s="262"/>
      <c r="E5" s="64">
        <v>20</v>
      </c>
      <c r="F5" s="32"/>
      <c r="G5" s="31"/>
      <c r="H5" s="33"/>
      <c r="I5" s="31">
        <v>1</v>
      </c>
      <c r="J5" s="34">
        <v>17.5</v>
      </c>
      <c r="K5" s="60">
        <f t="shared" si="2"/>
        <v>20</v>
      </c>
      <c r="L5" s="65">
        <f t="shared" si="0"/>
        <v>350</v>
      </c>
      <c r="Q5" s="39"/>
      <c r="S5" s="39">
        <f>T5/R6*100</f>
        <v>71.553057037733467</v>
      </c>
      <c r="T5" s="109">
        <f>T4+T2</f>
        <v>47877.345399999991</v>
      </c>
      <c r="U5" s="98" t="s">
        <v>115</v>
      </c>
      <c r="V5" s="98" t="s">
        <v>116</v>
      </c>
      <c r="W5" s="101">
        <v>4599.3500000000004</v>
      </c>
      <c r="X5" s="30"/>
      <c r="Z5" s="81">
        <v>0.15</v>
      </c>
      <c r="AA5" s="81">
        <f>W5+Z5</f>
        <v>4599.5</v>
      </c>
    </row>
    <row r="6" spans="1:27" ht="15" customHeight="1">
      <c r="A6" s="30">
        <v>4</v>
      </c>
      <c r="B6" s="262" t="s">
        <v>89</v>
      </c>
      <c r="C6" s="262"/>
      <c r="D6" s="262"/>
      <c r="E6" s="66">
        <v>10</v>
      </c>
      <c r="F6" s="32"/>
      <c r="G6" s="31"/>
      <c r="H6" s="33"/>
      <c r="I6" s="33">
        <v>1</v>
      </c>
      <c r="J6" s="34">
        <v>17.5</v>
      </c>
      <c r="K6" s="60">
        <f t="shared" si="2"/>
        <v>10</v>
      </c>
      <c r="L6" s="65">
        <f t="shared" si="0"/>
        <v>175</v>
      </c>
      <c r="M6" s="29" t="s">
        <v>107</v>
      </c>
      <c r="N6" s="93">
        <v>1286.48</v>
      </c>
      <c r="Q6" s="39">
        <f>SUM(P2:P4)-Q2</f>
        <v>66911.670000000013</v>
      </c>
      <c r="R6" s="77">
        <f>T5+T13</f>
        <v>66911.67</v>
      </c>
      <c r="S6" s="39"/>
      <c r="T6" s="110">
        <f>N8</f>
        <v>7717.5</v>
      </c>
      <c r="U6" s="98" t="s">
        <v>117</v>
      </c>
      <c r="V6" s="98" t="s">
        <v>118</v>
      </c>
      <c r="W6" s="101">
        <v>3179.59</v>
      </c>
      <c r="X6" s="30"/>
      <c r="Z6" s="81">
        <v>6.97</v>
      </c>
      <c r="AA6" s="81">
        <f t="shared" ref="AA6:AA15" si="4">W6+Z6</f>
        <v>3186.56</v>
      </c>
    </row>
    <row r="7" spans="1:27" ht="15" customHeight="1">
      <c r="A7" s="84">
        <v>5</v>
      </c>
      <c r="B7" s="263" t="s">
        <v>13</v>
      </c>
      <c r="C7" s="264"/>
      <c r="D7" s="265"/>
      <c r="E7" s="16">
        <v>0</v>
      </c>
      <c r="F7" s="15">
        <v>1</v>
      </c>
      <c r="G7" s="15"/>
      <c r="H7" s="16"/>
      <c r="I7" s="16"/>
      <c r="J7" s="86">
        <v>35</v>
      </c>
      <c r="K7" s="87">
        <f>E7*F7</f>
        <v>0</v>
      </c>
      <c r="L7" s="88">
        <f t="shared" si="0"/>
        <v>0</v>
      </c>
      <c r="M7" s="92" t="s">
        <v>108</v>
      </c>
      <c r="N7" s="92">
        <v>1187.5</v>
      </c>
      <c r="Q7" s="39"/>
      <c r="S7" s="39"/>
      <c r="U7" s="98" t="s">
        <v>119</v>
      </c>
      <c r="V7" s="98" t="s">
        <v>120</v>
      </c>
      <c r="W7" s="101">
        <v>2793.94</v>
      </c>
      <c r="X7" s="30"/>
      <c r="Z7" s="81">
        <f>772.63+1195.91</f>
        <v>1968.54</v>
      </c>
      <c r="AA7" s="81">
        <f t="shared" si="4"/>
        <v>4762.4799999999996</v>
      </c>
    </row>
    <row r="8" spans="1:27" ht="15" customHeight="1">
      <c r="A8" s="84">
        <v>5</v>
      </c>
      <c r="B8" s="258" t="s">
        <v>14</v>
      </c>
      <c r="C8" s="258"/>
      <c r="D8" s="258"/>
      <c r="E8" s="20">
        <v>16</v>
      </c>
      <c r="F8" s="20">
        <v>0</v>
      </c>
      <c r="G8" s="20"/>
      <c r="H8" s="85"/>
      <c r="I8" s="20"/>
      <c r="J8" s="86">
        <v>35</v>
      </c>
      <c r="K8" s="87">
        <f>E8*F8</f>
        <v>0</v>
      </c>
      <c r="L8" s="88">
        <f t="shared" si="0"/>
        <v>0</v>
      </c>
      <c r="M8" s="92" t="s">
        <v>109</v>
      </c>
      <c r="N8" s="92">
        <v>7717.5</v>
      </c>
      <c r="Q8" s="39"/>
      <c r="S8" s="39"/>
      <c r="U8" s="98" t="s">
        <v>121</v>
      </c>
      <c r="V8" s="98" t="s">
        <v>122</v>
      </c>
      <c r="W8" s="101"/>
      <c r="X8" s="30"/>
      <c r="Z8" s="81"/>
      <c r="AA8" s="81">
        <f t="shared" si="4"/>
        <v>0</v>
      </c>
    </row>
    <row r="9" spans="1:27" ht="15" customHeight="1">
      <c r="A9" s="84">
        <v>6</v>
      </c>
      <c r="B9" s="267" t="s">
        <v>15</v>
      </c>
      <c r="C9" s="267"/>
      <c r="D9" s="267"/>
      <c r="E9" s="20">
        <v>20</v>
      </c>
      <c r="F9" s="89"/>
      <c r="G9" s="20"/>
      <c r="H9" s="85"/>
      <c r="I9" s="20">
        <v>1</v>
      </c>
      <c r="J9" s="86">
        <v>35</v>
      </c>
      <c r="K9" s="87">
        <f t="shared" ref="K9:K11" si="5">E9*I9</f>
        <v>20</v>
      </c>
      <c r="L9" s="88">
        <f t="shared" si="0"/>
        <v>700</v>
      </c>
      <c r="M9" s="92" t="s">
        <v>110</v>
      </c>
      <c r="N9" s="93">
        <v>665.6</v>
      </c>
      <c r="Q9" s="39"/>
      <c r="R9" s="77" t="s">
        <v>111</v>
      </c>
      <c r="S9" s="39"/>
      <c r="T9" s="110">
        <f>SUM(T5:T6)</f>
        <v>55594.845399999991</v>
      </c>
      <c r="U9" s="98" t="s">
        <v>123</v>
      </c>
      <c r="V9" s="98" t="s">
        <v>124</v>
      </c>
      <c r="W9" s="101">
        <v>1088.4100000000001</v>
      </c>
      <c r="X9" s="30"/>
      <c r="Z9" s="81">
        <v>1031.5</v>
      </c>
      <c r="AA9" s="81">
        <f t="shared" si="4"/>
        <v>2119.91</v>
      </c>
    </row>
    <row r="10" spans="1:27" ht="15" customHeight="1">
      <c r="A10" s="30">
        <v>7</v>
      </c>
      <c r="B10" s="267" t="s">
        <v>16</v>
      </c>
      <c r="C10" s="267"/>
      <c r="D10" s="267"/>
      <c r="E10" s="64">
        <v>100</v>
      </c>
      <c r="F10" s="32"/>
      <c r="G10" s="36"/>
      <c r="H10" s="37"/>
      <c r="I10" s="36">
        <v>1</v>
      </c>
      <c r="J10" s="35">
        <v>35</v>
      </c>
      <c r="K10" s="60">
        <f t="shared" si="5"/>
        <v>100</v>
      </c>
      <c r="L10" s="43">
        <f t="shared" si="0"/>
        <v>3500</v>
      </c>
      <c r="M10" s="29">
        <f>SUM(N6:N9)</f>
        <v>10857.08</v>
      </c>
      <c r="Q10" s="39"/>
      <c r="S10" s="39"/>
      <c r="T10" s="39"/>
      <c r="U10" s="98" t="s">
        <v>125</v>
      </c>
      <c r="V10" s="98" t="s">
        <v>126</v>
      </c>
      <c r="W10" s="101">
        <v>14952.85</v>
      </c>
      <c r="X10" s="30"/>
      <c r="Z10" s="81"/>
      <c r="AA10" s="81">
        <f t="shared" si="4"/>
        <v>14952.85</v>
      </c>
    </row>
    <row r="11" spans="1:27" ht="15" customHeight="1">
      <c r="A11" s="30">
        <v>8</v>
      </c>
      <c r="B11" s="267" t="s">
        <v>67</v>
      </c>
      <c r="C11" s="267"/>
      <c r="D11" s="267"/>
      <c r="E11" s="64">
        <v>153</v>
      </c>
      <c r="F11" s="32"/>
      <c r="G11" s="36"/>
      <c r="H11" s="37"/>
      <c r="I11" s="36">
        <v>1</v>
      </c>
      <c r="J11" s="35">
        <v>35</v>
      </c>
      <c r="K11" s="60">
        <f t="shared" si="5"/>
        <v>153</v>
      </c>
      <c r="L11" s="43">
        <f t="shared" si="0"/>
        <v>5355</v>
      </c>
      <c r="Q11" s="39"/>
      <c r="S11" s="39">
        <v>0.28000000000000003</v>
      </c>
      <c r="T11" s="39">
        <f>R2-T2</f>
        <v>14548.469600000004</v>
      </c>
      <c r="U11" s="98" t="s">
        <v>127</v>
      </c>
      <c r="V11" s="98" t="s">
        <v>128</v>
      </c>
      <c r="W11" s="102">
        <f>SUM(W2:W10)</f>
        <v>81917.250000000015</v>
      </c>
      <c r="X11" s="30"/>
      <c r="Z11" s="81"/>
      <c r="AA11" s="81">
        <f t="shared" si="4"/>
        <v>81917.250000000015</v>
      </c>
    </row>
    <row r="12" spans="1:27" ht="15" customHeight="1">
      <c r="A12" s="30">
        <v>9</v>
      </c>
      <c r="B12" s="267" t="s">
        <v>39</v>
      </c>
      <c r="C12" s="267"/>
      <c r="D12" s="267"/>
      <c r="E12" s="36">
        <v>25</v>
      </c>
      <c r="F12" s="64">
        <v>17</v>
      </c>
      <c r="G12" s="36"/>
      <c r="H12" s="37"/>
      <c r="I12" s="36"/>
      <c r="J12" s="35">
        <v>17.5</v>
      </c>
      <c r="K12" s="60">
        <f t="shared" ref="K12:K13" si="6">E12*F12</f>
        <v>425</v>
      </c>
      <c r="L12" s="65">
        <f t="shared" si="0"/>
        <v>7437.5</v>
      </c>
      <c r="M12" s="252">
        <v>4720.2</v>
      </c>
      <c r="N12" s="252"/>
      <c r="O12" s="39"/>
      <c r="P12" s="39"/>
      <c r="Q12" s="39"/>
      <c r="S12" s="39">
        <v>0.3</v>
      </c>
      <c r="T12" s="39">
        <f>R4-T4</f>
        <v>4485.8550000000014</v>
      </c>
      <c r="U12" s="103" t="s">
        <v>129</v>
      </c>
      <c r="V12" s="103" t="s">
        <v>130</v>
      </c>
      <c r="W12" s="104">
        <v>670.87</v>
      </c>
      <c r="X12" s="30"/>
      <c r="Z12" s="81">
        <v>979.52</v>
      </c>
      <c r="AA12" s="81">
        <f t="shared" si="4"/>
        <v>1650.3899999999999</v>
      </c>
    </row>
    <row r="13" spans="1:27" ht="15" customHeight="1">
      <c r="A13" s="30">
        <v>10</v>
      </c>
      <c r="B13" s="267" t="s">
        <v>38</v>
      </c>
      <c r="C13" s="267"/>
      <c r="D13" s="267"/>
      <c r="E13" s="36">
        <v>10</v>
      </c>
      <c r="F13" s="64">
        <v>17</v>
      </c>
      <c r="G13" s="36"/>
      <c r="H13" s="37"/>
      <c r="I13" s="36"/>
      <c r="J13" s="35">
        <v>17.5</v>
      </c>
      <c r="K13" s="60">
        <f t="shared" si="6"/>
        <v>170</v>
      </c>
      <c r="L13" s="65">
        <f t="shared" si="0"/>
        <v>2975</v>
      </c>
      <c r="M13" s="252"/>
      <c r="N13" s="252"/>
      <c r="O13" s="39"/>
      <c r="P13" s="39"/>
      <c r="Q13" s="39"/>
      <c r="S13" s="39">
        <f>T13/R6*100</f>
        <v>28.446942962266537</v>
      </c>
      <c r="T13" s="111">
        <f>SUM(T11:T12)</f>
        <v>19034.324600000007</v>
      </c>
      <c r="U13" s="103" t="s">
        <v>131</v>
      </c>
      <c r="V13" s="103" t="s">
        <v>132</v>
      </c>
      <c r="W13" s="104">
        <f>W12+W11</f>
        <v>82588.12000000001</v>
      </c>
      <c r="X13" s="30"/>
      <c r="Y13" s="81"/>
      <c r="Z13" s="81"/>
      <c r="AA13" s="81">
        <f t="shared" si="4"/>
        <v>82588.12000000001</v>
      </c>
    </row>
    <row r="14" spans="1:27" ht="15" customHeight="1">
      <c r="A14" s="30">
        <v>11</v>
      </c>
      <c r="B14" s="255" t="s">
        <v>105</v>
      </c>
      <c r="C14" s="256"/>
      <c r="D14" s="257"/>
      <c r="E14" s="33">
        <v>240</v>
      </c>
      <c r="F14" s="32"/>
      <c r="G14" s="31">
        <v>1</v>
      </c>
      <c r="H14" s="33"/>
      <c r="I14" s="33"/>
      <c r="J14" s="35">
        <v>17.5</v>
      </c>
      <c r="K14" s="60">
        <f t="shared" ref="K14:K15" si="7">E14*G14</f>
        <v>240</v>
      </c>
      <c r="L14" s="43">
        <f t="shared" si="0"/>
        <v>4200</v>
      </c>
      <c r="M14" s="252"/>
      <c r="N14" s="252"/>
      <c r="O14" s="39"/>
      <c r="P14" s="39"/>
      <c r="Q14" s="39"/>
      <c r="S14" s="39"/>
      <c r="T14" s="111">
        <f>N7</f>
        <v>1187.5</v>
      </c>
      <c r="U14" s="103" t="s">
        <v>133</v>
      </c>
      <c r="V14" s="105" t="s">
        <v>134</v>
      </c>
      <c r="W14" s="106"/>
      <c r="X14" s="30"/>
      <c r="Y14" s="81"/>
      <c r="Z14" s="81"/>
      <c r="AA14" s="81">
        <f t="shared" si="4"/>
        <v>0</v>
      </c>
    </row>
    <row r="15" spans="1:27" ht="15" customHeight="1">
      <c r="A15" s="30">
        <v>12</v>
      </c>
      <c r="B15" s="255" t="s">
        <v>104</v>
      </c>
      <c r="C15" s="256"/>
      <c r="D15" s="257"/>
      <c r="E15" s="66">
        <v>80</v>
      </c>
      <c r="F15" s="32"/>
      <c r="G15" s="31">
        <v>1</v>
      </c>
      <c r="H15" s="33"/>
      <c r="I15" s="33"/>
      <c r="J15" s="35">
        <v>17.5</v>
      </c>
      <c r="K15" s="60">
        <f t="shared" si="7"/>
        <v>80</v>
      </c>
      <c r="L15" s="65">
        <f t="shared" si="0"/>
        <v>1400</v>
      </c>
      <c r="M15" s="50" t="s">
        <v>76</v>
      </c>
      <c r="N15" s="46">
        <v>6.97</v>
      </c>
      <c r="O15" s="47">
        <v>3179.59</v>
      </c>
      <c r="P15" s="91">
        <f>N15+O15</f>
        <v>3186.56</v>
      </c>
      <c r="Q15" s="39"/>
      <c r="S15" s="39"/>
      <c r="T15" s="39"/>
      <c r="U15" s="98" t="s">
        <v>135</v>
      </c>
      <c r="V15" s="107" t="s">
        <v>136</v>
      </c>
      <c r="W15" s="108">
        <f>W14+W13</f>
        <v>82588.12000000001</v>
      </c>
      <c r="X15" s="30"/>
      <c r="Y15" s="81"/>
      <c r="Z15" s="81"/>
      <c r="AA15" s="81">
        <f t="shared" si="4"/>
        <v>82588.12000000001</v>
      </c>
    </row>
    <row r="16" spans="1:27" ht="15" customHeight="1">
      <c r="A16" s="53">
        <v>13</v>
      </c>
      <c r="B16" s="268" t="s">
        <v>69</v>
      </c>
      <c r="C16" s="268"/>
      <c r="D16" s="268"/>
      <c r="E16" s="54"/>
      <c r="F16" s="54"/>
      <c r="G16" s="54"/>
      <c r="H16" s="54"/>
      <c r="I16" s="54"/>
      <c r="J16" s="53"/>
      <c r="K16" s="61"/>
      <c r="L16" s="57"/>
      <c r="M16" s="28"/>
      <c r="N16" s="28"/>
      <c r="O16" s="28"/>
      <c r="P16" s="39"/>
      <c r="Q16" s="39"/>
      <c r="R16" s="77" t="s">
        <v>112</v>
      </c>
      <c r="S16" s="39"/>
      <c r="T16" s="111">
        <f>SUM(T13:T14)</f>
        <v>20221.824600000007</v>
      </c>
      <c r="U16" s="39"/>
      <c r="V16" s="28"/>
      <c r="W16" s="28"/>
      <c r="X16" s="41">
        <f>SUM(X2:Z11)</f>
        <v>13864.239999999998</v>
      </c>
    </row>
    <row r="17" spans="1:27" ht="15" customHeight="1">
      <c r="A17" s="53"/>
      <c r="B17" s="269" t="s">
        <v>30</v>
      </c>
      <c r="C17" s="270"/>
      <c r="D17" s="271"/>
      <c r="E17" s="54">
        <v>12</v>
      </c>
      <c r="F17" s="72">
        <v>16</v>
      </c>
      <c r="G17" s="54">
        <v>16</v>
      </c>
      <c r="H17" s="55"/>
      <c r="I17" s="54"/>
      <c r="J17" s="56"/>
      <c r="K17" s="61">
        <f t="shared" ref="K17:K20" si="8">E17*G17</f>
        <v>192</v>
      </c>
      <c r="L17" s="57">
        <f t="shared" ref="L17:L22" si="9">K17*J17</f>
        <v>0</v>
      </c>
      <c r="M17" s="28"/>
      <c r="N17" s="28"/>
      <c r="O17" s="28"/>
      <c r="P17" s="39"/>
      <c r="Q17" s="39"/>
      <c r="S17" s="39"/>
      <c r="T17" s="39"/>
      <c r="U17" s="28"/>
      <c r="V17" s="28"/>
      <c r="W17" s="28"/>
      <c r="X17" s="28">
        <v>979.52</v>
      </c>
    </row>
    <row r="18" spans="1:27" ht="15" customHeight="1" thickBot="1">
      <c r="A18" s="53"/>
      <c r="B18" s="269" t="s">
        <v>28</v>
      </c>
      <c r="C18" s="270"/>
      <c r="D18" s="271"/>
      <c r="E18" s="54">
        <v>12</v>
      </c>
      <c r="F18" s="72"/>
      <c r="G18" s="54">
        <v>2</v>
      </c>
      <c r="H18" s="55"/>
      <c r="I18" s="54"/>
      <c r="J18" s="56"/>
      <c r="K18" s="61">
        <f t="shared" si="8"/>
        <v>24</v>
      </c>
      <c r="L18" s="57">
        <f t="shared" si="9"/>
        <v>0</v>
      </c>
      <c r="M18" s="252"/>
      <c r="N18" s="252"/>
      <c r="O18" s="39"/>
      <c r="Q18" s="39"/>
      <c r="S18" s="39"/>
      <c r="T18" s="39"/>
      <c r="U18" s="28"/>
      <c r="V18" s="28"/>
      <c r="W18" s="28"/>
      <c r="X18" s="41">
        <f>SUM(X16:X17)</f>
        <v>14843.759999999998</v>
      </c>
    </row>
    <row r="19" spans="1:27" ht="15" customHeight="1" thickBot="1">
      <c r="A19" s="53"/>
      <c r="B19" s="269" t="s">
        <v>29</v>
      </c>
      <c r="C19" s="270"/>
      <c r="D19" s="271"/>
      <c r="E19" s="54">
        <v>15</v>
      </c>
      <c r="F19" s="72"/>
      <c r="G19" s="73">
        <v>0</v>
      </c>
      <c r="H19" s="55"/>
      <c r="I19" s="54"/>
      <c r="J19" s="56"/>
      <c r="K19" s="61">
        <f t="shared" si="8"/>
        <v>0</v>
      </c>
      <c r="L19" s="57">
        <f t="shared" si="9"/>
        <v>0</v>
      </c>
      <c r="M19" s="252"/>
      <c r="N19" s="252"/>
      <c r="O19" s="28"/>
      <c r="Q19" s="39"/>
      <c r="S19" s="39"/>
      <c r="T19" s="39"/>
      <c r="U19" s="28"/>
      <c r="V19" s="28"/>
      <c r="W19" s="41">
        <f>W13+X18</f>
        <v>97431.88</v>
      </c>
      <c r="X19" s="28"/>
      <c r="Y19" s="130" t="s">
        <v>145</v>
      </c>
      <c r="Z19" s="131">
        <v>55303.11</v>
      </c>
      <c r="AA19" s="132"/>
    </row>
    <row r="20" spans="1:27" ht="15" customHeight="1" thickBot="1">
      <c r="A20" s="53"/>
      <c r="B20" s="67" t="s">
        <v>57</v>
      </c>
      <c r="C20" s="74"/>
      <c r="D20" s="69"/>
      <c r="E20" s="54">
        <v>10</v>
      </c>
      <c r="F20" s="72"/>
      <c r="G20" s="73">
        <v>9</v>
      </c>
      <c r="H20" s="55"/>
      <c r="I20" s="54"/>
      <c r="J20" s="56"/>
      <c r="K20" s="61">
        <f t="shared" si="8"/>
        <v>90</v>
      </c>
      <c r="L20" s="57">
        <f t="shared" si="9"/>
        <v>0</v>
      </c>
      <c r="M20" s="252"/>
      <c r="N20" s="252"/>
      <c r="O20" s="39"/>
      <c r="Q20" s="39"/>
      <c r="S20" s="39"/>
      <c r="T20" s="39"/>
      <c r="U20" s="41"/>
      <c r="V20" s="28"/>
      <c r="W20" s="41"/>
      <c r="X20" s="41"/>
      <c r="Y20" s="133" t="s">
        <v>146</v>
      </c>
      <c r="Z20" s="134"/>
      <c r="AA20" s="135">
        <v>1286.48</v>
      </c>
    </row>
    <row r="21" spans="1:27" ht="15" customHeight="1" thickBot="1">
      <c r="A21" s="53"/>
      <c r="B21" s="255" t="s">
        <v>32</v>
      </c>
      <c r="C21" s="266"/>
      <c r="D21" s="257"/>
      <c r="E21" s="54"/>
      <c r="F21" s="54"/>
      <c r="G21" s="54"/>
      <c r="H21" s="55"/>
      <c r="I21" s="54"/>
      <c r="J21" s="56">
        <v>17.5</v>
      </c>
      <c r="K21" s="56">
        <f>SUM(K17:K20)</f>
        <v>306</v>
      </c>
      <c r="L21" s="75">
        <f t="shared" si="9"/>
        <v>5355</v>
      </c>
      <c r="M21" s="50" t="s">
        <v>75</v>
      </c>
      <c r="N21" s="46">
        <v>0.15</v>
      </c>
      <c r="O21" s="47">
        <v>4599.3500000000004</v>
      </c>
      <c r="P21" s="91">
        <f>O21+N21</f>
        <v>4599.5</v>
      </c>
      <c r="Q21" s="39"/>
      <c r="R21" s="39"/>
      <c r="S21" s="39"/>
      <c r="T21" s="39"/>
      <c r="U21" s="28"/>
      <c r="V21" s="28"/>
      <c r="Y21" s="133" t="s">
        <v>147</v>
      </c>
      <c r="Z21" s="134"/>
      <c r="AA21" s="136">
        <v>665.6</v>
      </c>
    </row>
    <row r="22" spans="1:27" ht="15" customHeight="1" thickBot="1">
      <c r="A22" s="30">
        <v>14</v>
      </c>
      <c r="B22" s="267" t="s">
        <v>41</v>
      </c>
      <c r="C22" s="267"/>
      <c r="D22" s="267"/>
      <c r="E22" s="36">
        <v>4</v>
      </c>
      <c r="F22" s="36"/>
      <c r="G22" s="36"/>
      <c r="H22" s="37">
        <v>8</v>
      </c>
      <c r="I22" s="36"/>
      <c r="J22" s="35">
        <v>17.5</v>
      </c>
      <c r="K22" s="60">
        <f>E22*H22</f>
        <v>32</v>
      </c>
      <c r="L22" s="43">
        <f t="shared" si="9"/>
        <v>560</v>
      </c>
      <c r="M22" s="50" t="s">
        <v>77</v>
      </c>
      <c r="N22" s="90">
        <v>772.63</v>
      </c>
      <c r="O22" s="47">
        <v>2793.94</v>
      </c>
      <c r="P22" s="39">
        <f t="shared" ref="P22:P25" si="10">O22+N22</f>
        <v>3566.57</v>
      </c>
      <c r="Q22" s="39" t="s">
        <v>87</v>
      </c>
      <c r="S22" s="39">
        <f>N22/(N22+N23)</f>
        <v>0.39248884960427527</v>
      </c>
      <c r="T22" s="39">
        <f>O22*S22</f>
        <v>1096.5902964633688</v>
      </c>
      <c r="U22" s="28"/>
      <c r="V22" s="28"/>
      <c r="Y22" s="133" t="s">
        <v>148</v>
      </c>
      <c r="Z22" s="134"/>
      <c r="AA22" s="135">
        <v>1187.5</v>
      </c>
    </row>
    <row r="23" spans="1:27" ht="15" customHeight="1" thickBot="1">
      <c r="A23" s="53">
        <v>15</v>
      </c>
      <c r="B23" s="268" t="s">
        <v>40</v>
      </c>
      <c r="C23" s="268"/>
      <c r="D23" s="268"/>
      <c r="E23" s="54"/>
      <c r="F23" s="54"/>
      <c r="G23" s="54"/>
      <c r="H23" s="55"/>
      <c r="I23" s="54"/>
      <c r="J23" s="56"/>
      <c r="K23" s="61"/>
      <c r="L23" s="57"/>
      <c r="M23" s="50" t="s">
        <v>78</v>
      </c>
      <c r="N23" s="90">
        <v>1195.9100000000001</v>
      </c>
      <c r="O23" s="47">
        <v>0</v>
      </c>
      <c r="P23" s="39">
        <f t="shared" si="10"/>
        <v>1195.9100000000001</v>
      </c>
      <c r="Q23" s="39"/>
      <c r="R23" s="39"/>
      <c r="S23" s="39"/>
      <c r="T23" s="39">
        <f>O22-T22</f>
        <v>1697.3497035366313</v>
      </c>
      <c r="U23" s="28"/>
      <c r="V23" s="28"/>
      <c r="Y23" s="133" t="s">
        <v>149</v>
      </c>
      <c r="Z23" s="134"/>
      <c r="AA23" s="135">
        <v>7717.5</v>
      </c>
    </row>
    <row r="24" spans="1:27" ht="15" customHeight="1" thickBot="1">
      <c r="A24" s="53"/>
      <c r="B24" s="269" t="s">
        <v>58</v>
      </c>
      <c r="C24" s="272"/>
      <c r="D24" s="273"/>
      <c r="E24" s="54">
        <v>13</v>
      </c>
      <c r="F24" s="54">
        <v>41</v>
      </c>
      <c r="G24" s="72"/>
      <c r="H24" s="55"/>
      <c r="I24" s="54"/>
      <c r="J24" s="56"/>
      <c r="K24" s="61">
        <f t="shared" ref="K24:K26" si="11">E24*F24</f>
        <v>533</v>
      </c>
      <c r="L24" s="57">
        <f t="shared" ref="L24:L29" si="12">K24*J24</f>
        <v>0</v>
      </c>
      <c r="M24" s="50" t="s">
        <v>80</v>
      </c>
      <c r="N24" s="46">
        <v>979.52</v>
      </c>
      <c r="O24" s="47">
        <v>670.87</v>
      </c>
      <c r="P24" s="91">
        <f t="shared" si="10"/>
        <v>1650.3899999999999</v>
      </c>
      <c r="Q24" s="39" t="s">
        <v>85</v>
      </c>
      <c r="R24" s="39" t="s">
        <v>86</v>
      </c>
      <c r="S24" s="39"/>
      <c r="T24" s="39"/>
      <c r="U24" s="28"/>
      <c r="V24" s="28"/>
      <c r="W24" s="141">
        <f>SUM(AA20:AA31)</f>
        <v>11895.699999999999</v>
      </c>
      <c r="Y24" s="133" t="s">
        <v>116</v>
      </c>
      <c r="Z24" s="137">
        <v>4599.3500000000004</v>
      </c>
      <c r="AA24" s="136"/>
    </row>
    <row r="25" spans="1:27" ht="15" customHeight="1" thickBot="1">
      <c r="A25" s="53"/>
      <c r="B25" s="269" t="s">
        <v>59</v>
      </c>
      <c r="C25" s="272"/>
      <c r="D25" s="273"/>
      <c r="E25" s="54">
        <v>16</v>
      </c>
      <c r="F25" s="54">
        <v>1</v>
      </c>
      <c r="G25" s="72"/>
      <c r="H25" s="55"/>
      <c r="I25" s="54"/>
      <c r="J25" s="56"/>
      <c r="K25" s="61">
        <f t="shared" si="11"/>
        <v>16</v>
      </c>
      <c r="L25" s="57">
        <f t="shared" si="12"/>
        <v>0</v>
      </c>
      <c r="M25" s="49" t="s">
        <v>81</v>
      </c>
      <c r="N25" s="46">
        <v>1031.5</v>
      </c>
      <c r="O25" s="47">
        <v>1088.4100000000001</v>
      </c>
      <c r="P25" s="91">
        <f t="shared" si="10"/>
        <v>2119.91</v>
      </c>
      <c r="Q25" s="39" t="s">
        <v>85</v>
      </c>
      <c r="R25" s="39" t="s">
        <v>102</v>
      </c>
      <c r="S25" s="39"/>
      <c r="T25" s="39"/>
      <c r="U25" s="28"/>
      <c r="V25" s="28"/>
      <c r="Y25" s="133" t="s">
        <v>150</v>
      </c>
      <c r="Z25" s="134"/>
      <c r="AA25" s="136">
        <v>0.15</v>
      </c>
    </row>
    <row r="26" spans="1:27" ht="15" customHeight="1" thickBot="1">
      <c r="A26" s="53"/>
      <c r="B26" s="269" t="s">
        <v>60</v>
      </c>
      <c r="C26" s="272"/>
      <c r="D26" s="273"/>
      <c r="E26" s="54">
        <v>4</v>
      </c>
      <c r="F26" s="73">
        <v>17</v>
      </c>
      <c r="G26" s="72"/>
      <c r="H26" s="55"/>
      <c r="I26" s="54"/>
      <c r="J26" s="56"/>
      <c r="K26" s="61">
        <f t="shared" si="11"/>
        <v>68</v>
      </c>
      <c r="L26" s="57">
        <f t="shared" si="12"/>
        <v>0</v>
      </c>
      <c r="M26" s="94"/>
      <c r="N26" s="95"/>
      <c r="O26" s="96"/>
      <c r="P26" s="39"/>
      <c r="Q26" s="39"/>
      <c r="R26" s="39"/>
      <c r="S26" s="39"/>
      <c r="T26" s="39"/>
      <c r="U26" s="28"/>
      <c r="V26" s="28"/>
      <c r="Y26" s="133" t="s">
        <v>118</v>
      </c>
      <c r="Z26" s="137">
        <v>3179.59</v>
      </c>
      <c r="AA26" s="136"/>
    </row>
    <row r="27" spans="1:27" ht="15" customHeight="1" thickBot="1">
      <c r="A27" s="53"/>
      <c r="B27" s="255" t="s">
        <v>32</v>
      </c>
      <c r="C27" s="274"/>
      <c r="D27" s="275"/>
      <c r="E27" s="54"/>
      <c r="F27" s="54"/>
      <c r="G27" s="54"/>
      <c r="H27" s="55"/>
      <c r="I27" s="54"/>
      <c r="J27" s="76">
        <v>17.5</v>
      </c>
      <c r="K27" s="56">
        <f>SUM(K24:K26)</f>
        <v>617</v>
      </c>
      <c r="L27" s="75">
        <f t="shared" si="12"/>
        <v>10797.5</v>
      </c>
      <c r="M27" s="51" t="s">
        <v>82</v>
      </c>
      <c r="N27" s="48">
        <f>SUM(N2:N25)</f>
        <v>16795.839999999997</v>
      </c>
      <c r="O27" s="48">
        <f>SUM(O2:O25)</f>
        <v>82588.12000000001</v>
      </c>
      <c r="P27" s="39">
        <f>N27+O27</f>
        <v>99383.96</v>
      </c>
      <c r="Q27" s="39"/>
      <c r="R27" s="39"/>
      <c r="S27" s="39"/>
      <c r="T27" s="39"/>
      <c r="U27" s="28"/>
      <c r="V27" s="28"/>
      <c r="Y27" s="133" t="s">
        <v>151</v>
      </c>
      <c r="Z27" s="134"/>
      <c r="AA27" s="136">
        <v>6.97</v>
      </c>
    </row>
    <row r="28" spans="1:27" ht="15" customHeight="1" thickBot="1">
      <c r="A28" s="30">
        <v>16</v>
      </c>
      <c r="B28" s="267" t="s">
        <v>42</v>
      </c>
      <c r="C28" s="267"/>
      <c r="D28" s="267"/>
      <c r="E28" s="64">
        <v>65</v>
      </c>
      <c r="F28" s="36"/>
      <c r="G28" s="64">
        <v>1</v>
      </c>
      <c r="H28" s="37"/>
      <c r="I28" s="36"/>
      <c r="J28" s="35">
        <v>17.5</v>
      </c>
      <c r="K28" s="60">
        <f>E28*G28</f>
        <v>65</v>
      </c>
      <c r="L28" s="65">
        <f t="shared" si="12"/>
        <v>1137.5</v>
      </c>
      <c r="M28" s="28"/>
      <c r="N28" s="28"/>
      <c r="O28" s="39"/>
      <c r="Q28" s="39"/>
      <c r="R28" s="39"/>
      <c r="S28" s="39"/>
      <c r="T28" s="39"/>
      <c r="U28" s="28"/>
      <c r="V28" s="28"/>
      <c r="W28" s="141">
        <f>SUM(Z19:Z32)</f>
        <v>81917.250000000015</v>
      </c>
      <c r="Y28" s="133" t="s">
        <v>152</v>
      </c>
      <c r="Z28" s="137">
        <v>2793.94</v>
      </c>
      <c r="AA28" s="136"/>
    </row>
    <row r="29" spans="1:27" ht="15" customHeight="1" thickBot="1">
      <c r="A29" s="30">
        <v>17</v>
      </c>
      <c r="B29" s="255" t="s">
        <v>19</v>
      </c>
      <c r="C29" s="256"/>
      <c r="D29" s="257"/>
      <c r="E29" s="64">
        <v>44</v>
      </c>
      <c r="F29" s="31"/>
      <c r="G29" s="31"/>
      <c r="H29" s="33"/>
      <c r="I29" s="33">
        <v>1</v>
      </c>
      <c r="J29" s="35">
        <v>17.5</v>
      </c>
      <c r="K29" s="60">
        <f>E29*I29</f>
        <v>44</v>
      </c>
      <c r="L29" s="43">
        <f t="shared" si="12"/>
        <v>770</v>
      </c>
      <c r="M29" s="252" t="s">
        <v>94</v>
      </c>
      <c r="N29" s="252"/>
      <c r="O29" s="39">
        <f>80+68+E50</f>
        <v>152.75</v>
      </c>
      <c r="P29" s="77">
        <v>17.5</v>
      </c>
      <c r="Q29" s="39">
        <f>O29*P29</f>
        <v>2673.125</v>
      </c>
      <c r="R29" s="39"/>
      <c r="S29" s="39"/>
      <c r="T29" s="39"/>
      <c r="U29" s="28"/>
      <c r="V29" s="28"/>
      <c r="Y29" s="133" t="s">
        <v>153</v>
      </c>
      <c r="Z29" s="134"/>
      <c r="AA29" s="136" t="s">
        <v>154</v>
      </c>
    </row>
    <row r="30" spans="1:27" ht="15" customHeight="1" thickBot="1">
      <c r="A30" s="53">
        <v>18</v>
      </c>
      <c r="B30" s="269" t="s">
        <v>35</v>
      </c>
      <c r="C30" s="276"/>
      <c r="D30" s="271"/>
      <c r="E30" s="58"/>
      <c r="F30" s="59"/>
      <c r="G30" s="59"/>
      <c r="H30" s="59"/>
      <c r="I30" s="59"/>
      <c r="J30" s="53"/>
      <c r="K30" s="61"/>
      <c r="L30" s="57"/>
      <c r="M30" s="253">
        <f>N23+N22</f>
        <v>1968.54</v>
      </c>
      <c r="N30" s="252"/>
      <c r="O30" s="39">
        <f>240+20+20</f>
        <v>280</v>
      </c>
      <c r="P30" s="77">
        <v>17.5</v>
      </c>
      <c r="Q30" s="39">
        <f>O30*P30</f>
        <v>4900</v>
      </c>
      <c r="R30" s="39"/>
      <c r="S30" s="39"/>
      <c r="T30" s="39"/>
      <c r="U30" s="28"/>
      <c r="V30" s="28"/>
      <c r="W30" s="141">
        <f>SUM(Z33:Z34)</f>
        <v>82588.12</v>
      </c>
      <c r="Y30" s="133" t="s">
        <v>124</v>
      </c>
      <c r="Z30" s="137">
        <v>1088.4100000000001</v>
      </c>
      <c r="AA30" s="136"/>
    </row>
    <row r="31" spans="1:27" ht="15" customHeight="1" thickBot="1">
      <c r="A31" s="53"/>
      <c r="B31" s="67" t="s">
        <v>68</v>
      </c>
      <c r="C31" s="68"/>
      <c r="D31" s="69"/>
      <c r="E31" s="58">
        <v>1</v>
      </c>
      <c r="F31" s="59"/>
      <c r="G31" s="73">
        <v>52</v>
      </c>
      <c r="H31" s="58"/>
      <c r="I31" s="58"/>
      <c r="J31" s="53"/>
      <c r="K31" s="61">
        <f t="shared" ref="K31:K32" si="13">E31*G31</f>
        <v>52</v>
      </c>
      <c r="L31" s="57">
        <f t="shared" ref="L31:L47" si="14">K31*J31</f>
        <v>0</v>
      </c>
      <c r="M31" s="252"/>
      <c r="N31" s="252"/>
      <c r="O31" s="39"/>
      <c r="P31" s="39"/>
      <c r="Q31" s="39"/>
      <c r="R31" s="39"/>
      <c r="S31" s="39"/>
      <c r="T31" s="39"/>
      <c r="U31" s="28"/>
      <c r="V31" s="28"/>
      <c r="Y31" s="133" t="s">
        <v>155</v>
      </c>
      <c r="Z31" s="134"/>
      <c r="AA31" s="135">
        <v>1031.5</v>
      </c>
    </row>
    <row r="32" spans="1:27" ht="15" customHeight="1" thickBot="1">
      <c r="A32" s="53"/>
      <c r="B32" s="67" t="s">
        <v>36</v>
      </c>
      <c r="C32" s="68"/>
      <c r="D32" s="69"/>
      <c r="E32" s="58">
        <v>15</v>
      </c>
      <c r="F32" s="59"/>
      <c r="G32" s="59">
        <v>6</v>
      </c>
      <c r="H32" s="58"/>
      <c r="I32" s="58"/>
      <c r="J32" s="56"/>
      <c r="K32" s="61">
        <f t="shared" si="13"/>
        <v>90</v>
      </c>
      <c r="L32" s="57">
        <f t="shared" si="14"/>
        <v>0</v>
      </c>
      <c r="M32" s="28"/>
      <c r="N32" s="28"/>
      <c r="O32" s="39"/>
      <c r="P32" s="39"/>
      <c r="Q32" s="39"/>
      <c r="R32" s="39"/>
      <c r="S32" s="39"/>
      <c r="T32" s="39"/>
      <c r="U32" s="39"/>
      <c r="V32" s="28"/>
      <c r="W32" s="28"/>
      <c r="X32" s="28"/>
      <c r="Y32" s="133" t="s">
        <v>156</v>
      </c>
      <c r="Z32" s="137">
        <v>14952.85</v>
      </c>
      <c r="AA32" s="136"/>
    </row>
    <row r="33" spans="1:27" ht="15" customHeight="1" thickBot="1">
      <c r="A33" s="53"/>
      <c r="B33" s="67" t="s">
        <v>37</v>
      </c>
      <c r="C33" s="68"/>
      <c r="D33" s="69"/>
      <c r="E33" s="58">
        <v>1</v>
      </c>
      <c r="F33" s="73">
        <v>0</v>
      </c>
      <c r="G33" s="59"/>
      <c r="H33" s="58"/>
      <c r="I33" s="58"/>
      <c r="J33" s="56"/>
      <c r="K33" s="61">
        <f>E33*F33</f>
        <v>0</v>
      </c>
      <c r="L33" s="57">
        <f t="shared" si="14"/>
        <v>0</v>
      </c>
      <c r="M33" s="252"/>
      <c r="N33" s="252"/>
      <c r="O33" s="39"/>
      <c r="P33" s="39"/>
      <c r="Q33" s="39"/>
      <c r="R33" s="39"/>
      <c r="S33" s="39"/>
      <c r="T33" s="39"/>
      <c r="U33" s="39"/>
      <c r="V33" s="28"/>
      <c r="W33" s="28"/>
      <c r="X33" s="28"/>
      <c r="Y33" s="133" t="s">
        <v>157</v>
      </c>
      <c r="Z33" s="138">
        <v>81917.25</v>
      </c>
      <c r="AA33" s="136" t="s">
        <v>158</v>
      </c>
    </row>
    <row r="34" spans="1:27" ht="15" customHeight="1" thickBot="1">
      <c r="A34" s="53"/>
      <c r="B34" s="113" t="s">
        <v>32</v>
      </c>
      <c r="C34" s="114"/>
      <c r="D34" s="115"/>
      <c r="E34" s="58"/>
      <c r="F34" s="59"/>
      <c r="G34" s="59"/>
      <c r="H34" s="58"/>
      <c r="I34" s="58"/>
      <c r="J34" s="56">
        <v>17.5</v>
      </c>
      <c r="K34" s="56">
        <f>SUM(K31:K33)</f>
        <v>142</v>
      </c>
      <c r="L34" s="75">
        <f t="shared" si="14"/>
        <v>2485</v>
      </c>
      <c r="M34" s="252"/>
      <c r="N34" s="252"/>
      <c r="O34" s="39"/>
      <c r="P34" s="39"/>
      <c r="Q34" s="39"/>
      <c r="R34" s="39"/>
      <c r="S34" s="39"/>
      <c r="T34" s="39"/>
      <c r="U34" s="28"/>
      <c r="V34" s="28"/>
      <c r="W34" s="28"/>
      <c r="X34" s="28"/>
      <c r="Y34" s="133" t="s">
        <v>130</v>
      </c>
      <c r="Z34" s="134">
        <v>670.87</v>
      </c>
      <c r="AA34" s="136"/>
    </row>
    <row r="35" spans="1:27" ht="15" customHeight="1" thickBot="1">
      <c r="A35" s="30">
        <v>19</v>
      </c>
      <c r="B35" s="277" t="s">
        <v>20</v>
      </c>
      <c r="C35" s="278"/>
      <c r="D35" s="279"/>
      <c r="E35" s="33">
        <v>34</v>
      </c>
      <c r="F35" s="31"/>
      <c r="G35" s="31"/>
      <c r="H35" s="33"/>
      <c r="I35" s="33">
        <v>0</v>
      </c>
      <c r="J35" s="35">
        <v>17.5</v>
      </c>
      <c r="K35" s="60">
        <f>E35*F35</f>
        <v>0</v>
      </c>
      <c r="L35" s="43">
        <f t="shared" si="14"/>
        <v>0</v>
      </c>
      <c r="M35" s="29" t="s">
        <v>91</v>
      </c>
      <c r="O35" s="28"/>
      <c r="P35" s="39"/>
      <c r="Q35" s="39"/>
      <c r="R35" s="39"/>
      <c r="S35" s="39"/>
      <c r="T35" s="39"/>
      <c r="U35" s="28"/>
      <c r="V35" s="28"/>
      <c r="W35" s="28"/>
      <c r="X35" s="28"/>
      <c r="Y35" s="133" t="s">
        <v>159</v>
      </c>
      <c r="Z35" s="134"/>
      <c r="AA35" s="136">
        <v>979.52</v>
      </c>
    </row>
    <row r="36" spans="1:27" ht="15" customHeight="1" thickBot="1">
      <c r="A36" s="30">
        <v>20</v>
      </c>
      <c r="B36" s="255" t="s">
        <v>21</v>
      </c>
      <c r="C36" s="256"/>
      <c r="D36" s="257"/>
      <c r="E36" s="33">
        <v>25</v>
      </c>
      <c r="F36" s="31"/>
      <c r="G36" s="31">
        <v>1</v>
      </c>
      <c r="H36" s="33"/>
      <c r="I36" s="33"/>
      <c r="J36" s="35">
        <v>17.5</v>
      </c>
      <c r="K36" s="60">
        <f t="shared" ref="K36:K38" si="15">E36*G36</f>
        <v>25</v>
      </c>
      <c r="L36" s="43">
        <f t="shared" si="14"/>
        <v>437.5</v>
      </c>
      <c r="M36" s="29" t="s">
        <v>92</v>
      </c>
      <c r="Q36" s="39"/>
      <c r="S36" s="39"/>
      <c r="T36" s="39"/>
      <c r="Y36" s="133" t="s">
        <v>160</v>
      </c>
      <c r="Z36" s="138">
        <v>82585.119999999995</v>
      </c>
      <c r="AA36" s="136"/>
    </row>
    <row r="37" spans="1:27" ht="15" customHeight="1" thickBot="1">
      <c r="A37" s="30">
        <v>21</v>
      </c>
      <c r="B37" s="254" t="s">
        <v>22</v>
      </c>
      <c r="C37" s="254"/>
      <c r="D37" s="254"/>
      <c r="E37" s="36">
        <v>20</v>
      </c>
      <c r="F37" s="36"/>
      <c r="G37" s="36">
        <v>0</v>
      </c>
      <c r="H37" s="37"/>
      <c r="I37" s="36"/>
      <c r="J37" s="35">
        <v>17.5</v>
      </c>
      <c r="K37" s="60">
        <f t="shared" si="15"/>
        <v>0</v>
      </c>
      <c r="L37" s="65">
        <f t="shared" si="14"/>
        <v>0</v>
      </c>
      <c r="Q37" s="39"/>
      <c r="S37" s="39"/>
      <c r="T37" s="39"/>
      <c r="Y37" s="133" t="s">
        <v>161</v>
      </c>
      <c r="Z37" s="139"/>
      <c r="AA37" s="136" t="s">
        <v>162</v>
      </c>
    </row>
    <row r="38" spans="1:27" ht="15" customHeight="1" thickBot="1">
      <c r="A38" s="30">
        <v>22</v>
      </c>
      <c r="B38" s="267" t="s">
        <v>23</v>
      </c>
      <c r="C38" s="267"/>
      <c r="D38" s="267"/>
      <c r="E38" s="64">
        <v>20</v>
      </c>
      <c r="F38" s="36"/>
      <c r="G38" s="36">
        <v>1</v>
      </c>
      <c r="H38" s="37"/>
      <c r="I38" s="36"/>
      <c r="J38" s="35">
        <v>17.5</v>
      </c>
      <c r="K38" s="60">
        <f t="shared" si="15"/>
        <v>20</v>
      </c>
      <c r="L38" s="65">
        <f t="shared" si="14"/>
        <v>350</v>
      </c>
      <c r="Q38" s="39"/>
      <c r="S38" s="39"/>
      <c r="T38" s="39"/>
      <c r="Y38" s="140" t="s">
        <v>136</v>
      </c>
      <c r="Z38" s="138">
        <v>97428.88</v>
      </c>
      <c r="AA38" s="136"/>
    </row>
    <row r="39" spans="1:27" ht="15" customHeight="1">
      <c r="A39" s="30">
        <v>23</v>
      </c>
      <c r="B39" s="277" t="s">
        <v>24</v>
      </c>
      <c r="C39" s="278"/>
      <c r="D39" s="280"/>
      <c r="E39" s="33">
        <v>10</v>
      </c>
      <c r="F39" s="31"/>
      <c r="G39" s="31"/>
      <c r="H39" s="33"/>
      <c r="I39" s="33">
        <v>1</v>
      </c>
      <c r="J39" s="35">
        <v>17.5</v>
      </c>
      <c r="K39" s="60">
        <f>E39*F39</f>
        <v>0</v>
      </c>
      <c r="L39" s="119">
        <f t="shared" si="14"/>
        <v>0</v>
      </c>
      <c r="M39" s="92"/>
      <c r="N39" s="92"/>
      <c r="O39" s="92"/>
      <c r="P39" s="118"/>
      <c r="Q39" s="123"/>
      <c r="R39" s="118"/>
      <c r="S39" s="123"/>
      <c r="T39" s="123"/>
      <c r="Z39" s="141">
        <f>SUM(Z19:Z38)</f>
        <v>344519.37</v>
      </c>
      <c r="AA39" s="29">
        <f>SUM(AA19:AA38)</f>
        <v>12875.22</v>
      </c>
    </row>
    <row r="40" spans="1:27" ht="15" customHeight="1">
      <c r="A40" s="30">
        <v>24</v>
      </c>
      <c r="B40" s="281" t="s">
        <v>106</v>
      </c>
      <c r="C40" s="281"/>
      <c r="D40" s="281"/>
      <c r="E40" s="64">
        <v>44</v>
      </c>
      <c r="F40" s="36"/>
      <c r="G40" s="36"/>
      <c r="H40" s="37"/>
      <c r="I40" s="64">
        <v>1</v>
      </c>
      <c r="J40" s="35">
        <v>17.5</v>
      </c>
      <c r="K40" s="60">
        <f t="shared" ref="K40:K47" si="16">E40*I40</f>
        <v>44</v>
      </c>
      <c r="L40" s="120">
        <f t="shared" si="14"/>
        <v>770</v>
      </c>
      <c r="M40" s="92"/>
      <c r="N40" s="124"/>
      <c r="O40" s="92"/>
      <c r="P40" s="124"/>
      <c r="Q40" s="118"/>
      <c r="R40" s="118"/>
      <c r="S40" s="118"/>
      <c r="T40" s="118"/>
    </row>
    <row r="41" spans="1:27" ht="15" customHeight="1">
      <c r="A41" s="30">
        <v>25</v>
      </c>
      <c r="B41" s="281" t="s">
        <v>49</v>
      </c>
      <c r="C41" s="281"/>
      <c r="D41" s="281"/>
      <c r="E41" s="64">
        <v>44</v>
      </c>
      <c r="F41" s="36"/>
      <c r="G41" s="36"/>
      <c r="H41" s="37"/>
      <c r="I41" s="64">
        <v>1</v>
      </c>
      <c r="J41" s="35">
        <v>17.5</v>
      </c>
      <c r="K41" s="60">
        <f t="shared" si="16"/>
        <v>44</v>
      </c>
      <c r="L41" s="120">
        <f t="shared" si="14"/>
        <v>770</v>
      </c>
      <c r="M41" s="92"/>
      <c r="N41" s="124"/>
      <c r="O41" s="92"/>
      <c r="P41" s="124"/>
      <c r="Q41" s="118"/>
      <c r="R41" s="118"/>
      <c r="S41" s="118"/>
      <c r="T41" s="118"/>
    </row>
    <row r="42" spans="1:27" ht="15" customHeight="1">
      <c r="A42" s="30">
        <v>26</v>
      </c>
      <c r="B42" s="281" t="s">
        <v>50</v>
      </c>
      <c r="C42" s="281"/>
      <c r="D42" s="281"/>
      <c r="E42" s="64">
        <v>44</v>
      </c>
      <c r="F42" s="36"/>
      <c r="G42" s="36"/>
      <c r="H42" s="37"/>
      <c r="I42" s="64">
        <v>1</v>
      </c>
      <c r="J42" s="35">
        <v>17.5</v>
      </c>
      <c r="K42" s="60">
        <f t="shared" si="16"/>
        <v>44</v>
      </c>
      <c r="L42" s="120">
        <f t="shared" si="14"/>
        <v>770</v>
      </c>
      <c r="M42" s="92"/>
      <c r="N42" s="124"/>
      <c r="O42" s="92"/>
      <c r="P42" s="124"/>
      <c r="Q42" s="118"/>
      <c r="R42" s="118"/>
      <c r="S42" s="118"/>
      <c r="T42" s="118"/>
    </row>
    <row r="43" spans="1:27" ht="15" customHeight="1">
      <c r="A43" s="30">
        <v>27</v>
      </c>
      <c r="B43" s="282" t="s">
        <v>61</v>
      </c>
      <c r="C43" s="282"/>
      <c r="D43" s="282"/>
      <c r="E43" s="36">
        <v>50</v>
      </c>
      <c r="F43" s="36"/>
      <c r="G43" s="36"/>
      <c r="H43" s="37"/>
      <c r="I43" s="64">
        <v>0</v>
      </c>
      <c r="J43" s="35">
        <v>17.5</v>
      </c>
      <c r="K43" s="60">
        <f t="shared" si="16"/>
        <v>0</v>
      </c>
      <c r="L43" s="119">
        <f t="shared" si="14"/>
        <v>0</v>
      </c>
      <c r="M43" s="92"/>
      <c r="N43" s="124"/>
      <c r="O43" s="92"/>
      <c r="P43" s="124"/>
      <c r="Q43" s="118"/>
      <c r="R43" s="118"/>
      <c r="S43" s="118"/>
      <c r="T43" s="118"/>
    </row>
    <row r="44" spans="1:27" ht="15" customHeight="1">
      <c r="A44" s="30">
        <v>28</v>
      </c>
      <c r="B44" s="281" t="s">
        <v>62</v>
      </c>
      <c r="C44" s="281"/>
      <c r="D44" s="281"/>
      <c r="E44" s="64">
        <v>44</v>
      </c>
      <c r="F44" s="36"/>
      <c r="G44" s="36"/>
      <c r="H44" s="37"/>
      <c r="I44" s="36">
        <v>1</v>
      </c>
      <c r="J44" s="35">
        <v>17.5</v>
      </c>
      <c r="K44" s="60">
        <f t="shared" si="16"/>
        <v>44</v>
      </c>
      <c r="L44" s="120">
        <f t="shared" si="14"/>
        <v>770</v>
      </c>
      <c r="M44" s="92"/>
      <c r="N44" s="124"/>
      <c r="O44" s="92"/>
      <c r="P44" s="124"/>
      <c r="Q44" s="118"/>
      <c r="R44" s="118"/>
      <c r="S44" s="118"/>
      <c r="T44" s="118"/>
    </row>
    <row r="45" spans="1:27" ht="15" customHeight="1">
      <c r="A45" s="30">
        <v>29</v>
      </c>
      <c r="B45" s="281" t="s">
        <v>143</v>
      </c>
      <c r="C45" s="281"/>
      <c r="D45" s="281"/>
      <c r="E45" s="64">
        <v>14</v>
      </c>
      <c r="F45" s="36"/>
      <c r="G45" s="36"/>
      <c r="H45" s="37"/>
      <c r="I45" s="36">
        <v>1</v>
      </c>
      <c r="J45" s="35">
        <v>17.5</v>
      </c>
      <c r="K45" s="60">
        <f t="shared" si="16"/>
        <v>14</v>
      </c>
      <c r="L45" s="120">
        <f t="shared" si="14"/>
        <v>245</v>
      </c>
      <c r="M45" s="92"/>
      <c r="N45" s="125"/>
      <c r="O45" s="92"/>
      <c r="P45" s="125"/>
      <c r="Q45" s="118"/>
      <c r="R45" s="118"/>
      <c r="S45" s="118"/>
      <c r="T45" s="118"/>
    </row>
    <row r="46" spans="1:27" ht="15" customHeight="1">
      <c r="A46" s="30"/>
      <c r="B46" s="249" t="s">
        <v>142</v>
      </c>
      <c r="C46" s="250"/>
      <c r="D46" s="251"/>
      <c r="E46" s="64">
        <v>44</v>
      </c>
      <c r="F46" s="36"/>
      <c r="G46" s="36"/>
      <c r="H46" s="37"/>
      <c r="I46" s="36">
        <v>1</v>
      </c>
      <c r="J46" s="35">
        <v>17.5</v>
      </c>
      <c r="K46" s="60">
        <f t="shared" ref="K46" si="17">E46*I46</f>
        <v>44</v>
      </c>
      <c r="L46" s="120">
        <f t="shared" ref="L46" si="18">K46*J46</f>
        <v>770</v>
      </c>
      <c r="M46" s="92"/>
      <c r="N46" s="126"/>
      <c r="O46" s="92"/>
      <c r="P46" s="125"/>
      <c r="Q46" s="118"/>
      <c r="R46" s="118"/>
      <c r="S46" s="118"/>
      <c r="T46" s="118"/>
    </row>
    <row r="47" spans="1:27" ht="15" customHeight="1">
      <c r="A47" s="30">
        <v>30</v>
      </c>
      <c r="B47" s="282" t="s">
        <v>64</v>
      </c>
      <c r="C47" s="282"/>
      <c r="D47" s="282"/>
      <c r="E47" s="64">
        <v>44</v>
      </c>
      <c r="F47" s="36"/>
      <c r="G47" s="36"/>
      <c r="H47" s="37"/>
      <c r="I47" s="36">
        <v>1</v>
      </c>
      <c r="J47" s="35">
        <v>17.5</v>
      </c>
      <c r="K47" s="60">
        <f t="shared" si="16"/>
        <v>44</v>
      </c>
      <c r="L47" s="119">
        <f t="shared" si="14"/>
        <v>770</v>
      </c>
      <c r="M47" s="92"/>
      <c r="N47" s="125"/>
      <c r="O47" s="92"/>
      <c r="P47" s="125"/>
      <c r="Q47" s="118"/>
      <c r="R47" s="118"/>
      <c r="S47" s="118"/>
      <c r="T47" s="118"/>
    </row>
    <row r="48" spans="1:27" ht="15" customHeight="1">
      <c r="A48" s="30"/>
      <c r="B48" s="112" t="s">
        <v>144</v>
      </c>
      <c r="C48" s="112"/>
      <c r="D48" s="112"/>
      <c r="E48" s="64">
        <v>0</v>
      </c>
      <c r="F48" s="36"/>
      <c r="G48" s="36"/>
      <c r="H48" s="37"/>
      <c r="I48" s="36">
        <v>1</v>
      </c>
      <c r="J48" s="35">
        <v>17.5</v>
      </c>
      <c r="K48" s="60">
        <f t="shared" ref="K48" si="19">E48*I48</f>
        <v>0</v>
      </c>
      <c r="L48" s="119">
        <f t="shared" ref="L48" si="20">K48*J48</f>
        <v>0</v>
      </c>
      <c r="M48" s="92"/>
      <c r="N48" s="125"/>
      <c r="O48" s="92"/>
      <c r="P48" s="125"/>
      <c r="Q48" s="118"/>
      <c r="R48" s="118"/>
      <c r="S48" s="118"/>
      <c r="T48" s="118"/>
    </row>
    <row r="49" spans="1:20" ht="15" customHeight="1">
      <c r="A49" s="84">
        <v>31</v>
      </c>
      <c r="B49" s="283" t="s">
        <v>103</v>
      </c>
      <c r="C49" s="283"/>
      <c r="D49" s="283"/>
      <c r="E49" s="20">
        <v>0</v>
      </c>
      <c r="F49" s="20"/>
      <c r="G49" s="20"/>
      <c r="H49" s="85"/>
      <c r="I49" s="20"/>
      <c r="J49" s="86">
        <v>17.5</v>
      </c>
      <c r="K49" s="87"/>
      <c r="L49" s="121"/>
      <c r="M49" s="92"/>
      <c r="N49" s="125"/>
      <c r="O49" s="92"/>
      <c r="P49" s="125"/>
      <c r="Q49" s="118"/>
      <c r="R49" s="118"/>
      <c r="S49" s="118"/>
      <c r="T49" s="118"/>
    </row>
    <row r="50" spans="1:20" ht="15" customHeight="1">
      <c r="A50" s="30">
        <v>32</v>
      </c>
      <c r="B50" s="281" t="s">
        <v>88</v>
      </c>
      <c r="C50" s="281"/>
      <c r="D50" s="281"/>
      <c r="E50" s="64">
        <v>4.75</v>
      </c>
      <c r="F50" s="36"/>
      <c r="G50" s="36">
        <v>8</v>
      </c>
      <c r="H50" s="37"/>
      <c r="I50" s="36"/>
      <c r="J50" s="35">
        <v>17.5</v>
      </c>
      <c r="K50" s="60">
        <f t="shared" ref="K50:K51" si="21">E50*G50</f>
        <v>38</v>
      </c>
      <c r="L50" s="120">
        <f t="shared" ref="L50:L51" si="22">K50*J50</f>
        <v>665</v>
      </c>
      <c r="M50" s="92"/>
      <c r="N50" s="125"/>
      <c r="O50" s="92"/>
      <c r="P50" s="125"/>
      <c r="Q50" s="118"/>
      <c r="R50" s="118"/>
      <c r="S50" s="118"/>
      <c r="T50" s="118"/>
    </row>
    <row r="51" spans="1:20" ht="15" customHeight="1">
      <c r="A51" s="30">
        <v>33</v>
      </c>
      <c r="B51" s="281" t="s">
        <v>141</v>
      </c>
      <c r="C51" s="281"/>
      <c r="D51" s="281"/>
      <c r="E51" s="64">
        <v>26</v>
      </c>
      <c r="F51" s="36"/>
      <c r="G51" s="36">
        <v>1</v>
      </c>
      <c r="H51" s="37"/>
      <c r="I51" s="36"/>
      <c r="J51" s="35">
        <v>17.5</v>
      </c>
      <c r="K51" s="60">
        <f t="shared" si="21"/>
        <v>26</v>
      </c>
      <c r="L51" s="119">
        <f t="shared" si="22"/>
        <v>455</v>
      </c>
      <c r="M51" s="92"/>
      <c r="N51" s="125"/>
      <c r="O51" s="92"/>
      <c r="P51" s="126"/>
      <c r="Q51" s="118"/>
      <c r="R51" s="118"/>
      <c r="S51" s="118"/>
      <c r="T51" s="118"/>
    </row>
    <row r="52" spans="1:20" ht="15" customHeight="1">
      <c r="A52" s="78"/>
      <c r="B52" s="288" t="s">
        <v>97</v>
      </c>
      <c r="C52" s="285"/>
      <c r="D52" s="285"/>
      <c r="E52" s="285"/>
      <c r="F52" s="285"/>
      <c r="G52" s="285"/>
      <c r="H52" s="285"/>
      <c r="I52" s="285"/>
      <c r="J52" s="285"/>
      <c r="K52" s="60"/>
      <c r="L52" s="44">
        <f>SUM(L1:L51)</f>
        <v>55020</v>
      </c>
      <c r="M52" s="118">
        <f>AA5+AA12+L52</f>
        <v>61269.89</v>
      </c>
      <c r="N52" s="126"/>
      <c r="O52" s="92"/>
      <c r="P52" s="126"/>
      <c r="Q52" s="118"/>
      <c r="R52" s="118"/>
      <c r="S52" s="118"/>
      <c r="T52" s="118"/>
    </row>
    <row r="53" spans="1:20" ht="15" customHeight="1">
      <c r="A53" s="78"/>
      <c r="B53" s="288" t="s">
        <v>98</v>
      </c>
      <c r="C53" s="285"/>
      <c r="D53" s="285"/>
      <c r="E53" s="285"/>
      <c r="F53" s="285"/>
      <c r="G53" s="285"/>
      <c r="H53" s="285"/>
      <c r="I53" s="285"/>
      <c r="J53" s="285"/>
      <c r="K53" s="82"/>
      <c r="L53" s="119">
        <f>T9</f>
        <v>55594.845399999991</v>
      </c>
      <c r="M53" s="118">
        <f>AA5+AA12+L53</f>
        <v>61844.73539999999</v>
      </c>
      <c r="N53" s="126"/>
      <c r="O53" s="92"/>
      <c r="P53" s="125"/>
      <c r="Q53" s="118"/>
      <c r="R53" s="118"/>
      <c r="S53" s="118"/>
      <c r="T53" s="118"/>
    </row>
    <row r="54" spans="1:20" ht="15" customHeight="1">
      <c r="A54" s="78"/>
      <c r="B54" s="254" t="s">
        <v>95</v>
      </c>
      <c r="C54" s="254"/>
      <c r="D54" s="254"/>
      <c r="E54" s="287"/>
      <c r="F54" s="287"/>
      <c r="G54" s="287"/>
      <c r="H54" s="287"/>
      <c r="I54" s="287"/>
      <c r="J54" s="287"/>
      <c r="K54" s="82"/>
      <c r="L54" s="119">
        <f>L53-L52</f>
        <v>574.84539999999106</v>
      </c>
      <c r="M54" s="92"/>
      <c r="N54" s="126"/>
      <c r="O54" s="92"/>
      <c r="P54" s="125"/>
      <c r="Q54" s="118"/>
      <c r="R54" s="118"/>
      <c r="S54" s="118"/>
      <c r="T54" s="118"/>
    </row>
    <row r="55" spans="1:20" ht="15" customHeight="1">
      <c r="A55" s="78"/>
      <c r="B55" s="284" t="s">
        <v>96</v>
      </c>
      <c r="C55" s="284"/>
      <c r="D55" s="284"/>
      <c r="E55" s="284"/>
      <c r="F55" s="284"/>
      <c r="G55" s="284"/>
      <c r="H55" s="284"/>
      <c r="I55" s="284"/>
      <c r="J55" s="284"/>
      <c r="K55" s="82"/>
      <c r="L55" s="122">
        <f>L52/L53*100</f>
        <v>98.966009535840911</v>
      </c>
      <c r="M55" s="92">
        <f>M52/M53</f>
        <v>0.99070502288865814</v>
      </c>
      <c r="N55" s="126"/>
      <c r="O55" s="92"/>
      <c r="P55" s="126"/>
      <c r="Q55" s="118"/>
      <c r="R55" s="118"/>
      <c r="S55" s="118"/>
      <c r="T55" s="118"/>
    </row>
    <row r="56" spans="1:20" ht="15" customHeight="1" thickBo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79"/>
      <c r="L56" s="80"/>
      <c r="M56" s="92"/>
      <c r="N56" s="125"/>
      <c r="O56" s="92"/>
      <c r="P56" s="126"/>
      <c r="Q56" s="118"/>
      <c r="R56" s="118"/>
      <c r="S56" s="118"/>
      <c r="T56" s="118"/>
    </row>
    <row r="57" spans="1:20" ht="15" customHeight="1" thickBot="1">
      <c r="A57" s="28"/>
      <c r="B57" s="28"/>
      <c r="C57" s="28"/>
      <c r="D57" s="127">
        <v>5669.5</v>
      </c>
      <c r="E57" s="28"/>
      <c r="F57" s="28"/>
      <c r="G57" s="28"/>
      <c r="H57" s="28"/>
      <c r="I57" s="28"/>
      <c r="J57" s="28"/>
      <c r="K57" s="79"/>
      <c r="L57" s="80"/>
      <c r="M57" s="92"/>
      <c r="N57" s="126"/>
      <c r="O57" s="92"/>
      <c r="P57" s="125"/>
      <c r="Q57" s="118"/>
      <c r="R57" s="118"/>
      <c r="S57" s="118"/>
      <c r="T57" s="118"/>
    </row>
    <row r="58" spans="1:20" ht="15" customHeight="1" thickBot="1">
      <c r="A58" s="28"/>
      <c r="B58" s="28">
        <f>L52/140</f>
        <v>393</v>
      </c>
      <c r="C58" s="28">
        <v>500</v>
      </c>
      <c r="D58" s="128">
        <v>1250</v>
      </c>
      <c r="E58" s="28"/>
      <c r="F58" s="28"/>
      <c r="G58" s="28"/>
      <c r="H58" s="28"/>
      <c r="I58" s="28"/>
      <c r="J58" s="28"/>
      <c r="K58" s="79"/>
      <c r="L58" s="80"/>
      <c r="M58" s="92"/>
      <c r="N58" s="125"/>
      <c r="O58" s="92"/>
      <c r="P58" s="126"/>
      <c r="Q58" s="118"/>
      <c r="R58" s="118"/>
      <c r="S58" s="118"/>
      <c r="T58" s="118"/>
    </row>
    <row r="59" spans="1:20" ht="15" customHeight="1" thickBot="1">
      <c r="A59" s="28"/>
      <c r="B59" s="28"/>
      <c r="C59" s="28"/>
      <c r="D59" s="129">
        <v>312.5</v>
      </c>
      <c r="E59" s="28"/>
      <c r="F59" s="28"/>
      <c r="G59" s="28"/>
      <c r="H59" s="28"/>
      <c r="I59" s="28"/>
      <c r="J59" s="28"/>
      <c r="K59" s="79"/>
      <c r="L59" s="80"/>
      <c r="M59" s="92"/>
      <c r="N59" s="126"/>
      <c r="O59" s="92"/>
      <c r="P59" s="125"/>
      <c r="Q59" s="118"/>
      <c r="R59" s="118"/>
      <c r="S59" s="118"/>
      <c r="T59" s="118"/>
    </row>
    <row r="60" spans="1:20" ht="15" customHeight="1" thickBot="1">
      <c r="A60" s="28"/>
      <c r="B60" s="28">
        <f>L80/38</f>
        <v>532.0526315789474</v>
      </c>
      <c r="C60" s="28"/>
      <c r="D60" s="128">
        <v>2500</v>
      </c>
      <c r="E60" s="28"/>
      <c r="F60" s="28"/>
      <c r="G60" s="28"/>
      <c r="H60" s="28"/>
      <c r="I60" s="28"/>
      <c r="J60" s="28"/>
      <c r="K60" s="79"/>
      <c r="L60" s="80"/>
      <c r="M60" s="92"/>
      <c r="N60" s="125"/>
      <c r="O60" s="92"/>
      <c r="P60" s="126"/>
      <c r="Q60" s="118"/>
      <c r="R60" s="118"/>
      <c r="S60" s="118"/>
      <c r="T60" s="118"/>
    </row>
    <row r="61" spans="1:20" ht="15" customHeight="1" thickBot="1">
      <c r="A61" s="28"/>
      <c r="B61" s="28"/>
      <c r="C61" s="28"/>
      <c r="D61" s="116">
        <v>4125</v>
      </c>
      <c r="E61" s="28"/>
      <c r="F61" s="28"/>
      <c r="G61" s="28"/>
      <c r="H61" s="28"/>
      <c r="I61" s="28"/>
      <c r="J61" s="28"/>
      <c r="K61" s="79"/>
      <c r="L61" s="80"/>
      <c r="M61" s="92"/>
      <c r="N61" s="126"/>
      <c r="O61" s="92"/>
      <c r="P61" s="126"/>
      <c r="Q61" s="118"/>
      <c r="R61" s="118"/>
      <c r="S61" s="118"/>
      <c r="T61" s="118"/>
    </row>
    <row r="62" spans="1:20" ht="15" customHeight="1" thickBot="1">
      <c r="A62" s="28"/>
      <c r="B62" s="28"/>
      <c r="C62" s="28"/>
      <c r="D62" s="117">
        <v>625</v>
      </c>
      <c r="E62" s="28"/>
      <c r="F62" s="28"/>
      <c r="G62" s="28"/>
      <c r="H62" s="28"/>
      <c r="I62" s="28"/>
      <c r="J62" s="28"/>
      <c r="K62" s="79"/>
      <c r="L62" s="80"/>
      <c r="M62" s="92"/>
      <c r="N62" s="126"/>
      <c r="O62" s="92"/>
      <c r="P62" s="126"/>
      <c r="Q62" s="118"/>
      <c r="R62" s="118"/>
      <c r="S62" s="118"/>
      <c r="T62" s="118"/>
    </row>
    <row r="63" spans="1:20" ht="15" customHeight="1" thickBot="1">
      <c r="A63" s="28"/>
      <c r="B63" s="28"/>
      <c r="C63" s="28"/>
      <c r="D63" s="129">
        <v>986</v>
      </c>
      <c r="E63" s="28"/>
      <c r="F63" s="28"/>
      <c r="G63" s="28"/>
      <c r="H63" s="28"/>
      <c r="I63" s="28"/>
      <c r="J63" s="28"/>
      <c r="K63" s="79"/>
      <c r="L63" s="80"/>
      <c r="M63" s="92"/>
      <c r="N63" s="126"/>
      <c r="O63" s="92"/>
      <c r="P63" s="126"/>
      <c r="Q63" s="118"/>
      <c r="R63" s="118"/>
      <c r="S63" s="118"/>
      <c r="T63" s="118"/>
    </row>
    <row r="64" spans="1:20" ht="15" customHeight="1" thickBot="1">
      <c r="A64" s="28"/>
      <c r="B64" s="28"/>
      <c r="C64" s="28"/>
      <c r="D64" s="128">
        <v>1000</v>
      </c>
      <c r="E64" s="28"/>
      <c r="F64" s="28"/>
      <c r="G64" s="28"/>
      <c r="H64" s="28"/>
      <c r="I64" s="28"/>
      <c r="J64" s="28"/>
      <c r="K64" s="79"/>
      <c r="L64" s="80"/>
      <c r="M64" s="92"/>
      <c r="N64" s="126"/>
      <c r="O64" s="92"/>
      <c r="P64" s="126"/>
      <c r="Q64" s="118"/>
      <c r="R64" s="118"/>
      <c r="S64" s="118"/>
      <c r="T64" s="118"/>
    </row>
    <row r="65" spans="1:20" ht="15" customHeight="1" thickBot="1">
      <c r="A65" s="28"/>
      <c r="B65" s="28"/>
      <c r="C65" s="28"/>
      <c r="D65" s="128">
        <v>3750</v>
      </c>
      <c r="E65" s="28"/>
      <c r="F65" s="28"/>
      <c r="G65" s="28"/>
      <c r="H65" s="28"/>
      <c r="I65" s="28"/>
      <c r="J65" s="28"/>
      <c r="K65" s="79"/>
      <c r="L65" s="80"/>
      <c r="M65" s="92"/>
      <c r="N65" s="126"/>
      <c r="O65" s="92"/>
      <c r="P65" s="126"/>
      <c r="Q65" s="118"/>
      <c r="R65" s="118"/>
      <c r="S65" s="118"/>
      <c r="T65" s="118"/>
    </row>
    <row r="66" spans="1:20" ht="15" customHeight="1">
      <c r="A66" s="28"/>
      <c r="B66" s="28"/>
      <c r="C66" s="28"/>
      <c r="D66" s="41">
        <f>SUM(D57:D65)</f>
        <v>20218</v>
      </c>
      <c r="E66" s="28"/>
      <c r="F66" s="28"/>
      <c r="G66" s="28"/>
      <c r="H66" s="28"/>
      <c r="I66" s="28"/>
      <c r="J66" s="28"/>
      <c r="K66" s="79"/>
      <c r="L66" s="80"/>
      <c r="M66" s="92"/>
      <c r="N66" s="126"/>
      <c r="O66" s="92"/>
      <c r="P66" s="126"/>
      <c r="Q66" s="118"/>
      <c r="R66" s="118"/>
      <c r="S66" s="118"/>
      <c r="T66" s="118"/>
    </row>
    <row r="67" spans="1:20" ht="1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79"/>
      <c r="L67" s="80"/>
      <c r="M67" s="92"/>
      <c r="N67" s="126"/>
      <c r="O67" s="92"/>
      <c r="P67" s="126"/>
      <c r="Q67" s="118"/>
      <c r="R67" s="118"/>
      <c r="S67" s="118"/>
      <c r="T67" s="118"/>
    </row>
    <row r="68" spans="1:20" ht="1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79"/>
      <c r="L68" s="80"/>
      <c r="M68" s="92"/>
      <c r="N68" s="126"/>
      <c r="O68" s="92"/>
      <c r="P68" s="126"/>
      <c r="Q68" s="118"/>
      <c r="R68" s="118"/>
      <c r="S68" s="118"/>
      <c r="T68" s="118"/>
    </row>
    <row r="69" spans="1:20" ht="1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79"/>
      <c r="L69" s="80"/>
      <c r="M69" s="92"/>
      <c r="N69" s="126"/>
      <c r="O69" s="92"/>
      <c r="P69" s="118"/>
      <c r="Q69" s="118"/>
      <c r="R69" s="118"/>
      <c r="S69" s="118"/>
      <c r="T69" s="118"/>
    </row>
    <row r="70" spans="1:20" ht="15" customHeight="1">
      <c r="A70" s="30">
        <v>1</v>
      </c>
      <c r="B70" s="277" t="s">
        <v>90</v>
      </c>
      <c r="C70" s="278"/>
      <c r="D70" s="279"/>
      <c r="E70" s="33">
        <v>391</v>
      </c>
      <c r="F70" s="31"/>
      <c r="G70" s="31"/>
      <c r="H70" s="33"/>
      <c r="I70" s="33">
        <v>1</v>
      </c>
      <c r="J70" s="35">
        <v>14.5</v>
      </c>
      <c r="K70" s="60">
        <f>E70*I70</f>
        <v>391</v>
      </c>
      <c r="L70" s="43">
        <f>K70*J70</f>
        <v>5669.5</v>
      </c>
    </row>
    <row r="71" spans="1:20" ht="15" customHeight="1">
      <c r="A71" s="30">
        <v>2</v>
      </c>
      <c r="B71" s="277" t="s">
        <v>51</v>
      </c>
      <c r="C71" s="278"/>
      <c r="D71" s="279"/>
      <c r="E71" s="33">
        <v>100</v>
      </c>
      <c r="F71" s="31"/>
      <c r="G71" s="31"/>
      <c r="H71" s="33"/>
      <c r="I71" s="33">
        <v>1</v>
      </c>
      <c r="J71" s="35">
        <v>12.5</v>
      </c>
      <c r="K71" s="60">
        <f t="shared" ref="K71:K79" si="23">E71*I71</f>
        <v>100</v>
      </c>
      <c r="L71" s="43">
        <f t="shared" ref="L71:L79" si="24">K71*J71</f>
        <v>1250</v>
      </c>
    </row>
    <row r="72" spans="1:20" ht="15" customHeight="1">
      <c r="A72" s="30">
        <v>3</v>
      </c>
      <c r="B72" s="254" t="s">
        <v>52</v>
      </c>
      <c r="C72" s="254"/>
      <c r="D72" s="254"/>
      <c r="E72" s="36">
        <v>25</v>
      </c>
      <c r="F72" s="36"/>
      <c r="G72" s="36"/>
      <c r="H72" s="37"/>
      <c r="I72" s="36">
        <v>1</v>
      </c>
      <c r="J72" s="35">
        <v>12.5</v>
      </c>
      <c r="K72" s="60">
        <f t="shared" si="23"/>
        <v>25</v>
      </c>
      <c r="L72" s="43">
        <f t="shared" si="24"/>
        <v>312.5</v>
      </c>
    </row>
    <row r="73" spans="1:20" ht="15" customHeight="1">
      <c r="A73" s="30">
        <v>4</v>
      </c>
      <c r="B73" s="254" t="s">
        <v>66</v>
      </c>
      <c r="C73" s="254"/>
      <c r="D73" s="254"/>
      <c r="E73" s="36">
        <v>200</v>
      </c>
      <c r="F73" s="36"/>
      <c r="G73" s="36"/>
      <c r="H73" s="37"/>
      <c r="I73" s="36">
        <v>1</v>
      </c>
      <c r="J73" s="35">
        <v>12.5</v>
      </c>
      <c r="K73" s="60">
        <f t="shared" si="23"/>
        <v>200</v>
      </c>
      <c r="L73" s="43">
        <f t="shared" si="24"/>
        <v>2500</v>
      </c>
    </row>
    <row r="74" spans="1:20" ht="15" customHeight="1">
      <c r="A74" s="30">
        <v>5</v>
      </c>
      <c r="B74" s="277" t="s">
        <v>53</v>
      </c>
      <c r="C74" s="278"/>
      <c r="D74" s="280"/>
      <c r="E74" s="33">
        <v>380</v>
      </c>
      <c r="F74" s="31"/>
      <c r="G74" s="31"/>
      <c r="H74" s="33"/>
      <c r="I74" s="33">
        <v>1</v>
      </c>
      <c r="J74" s="35">
        <v>12.5</v>
      </c>
      <c r="K74" s="60">
        <f t="shared" si="23"/>
        <v>380</v>
      </c>
      <c r="L74" s="43">
        <f t="shared" si="24"/>
        <v>4750</v>
      </c>
    </row>
    <row r="75" spans="1:20" ht="15" customHeight="1">
      <c r="A75" s="30">
        <v>6</v>
      </c>
      <c r="B75" s="277" t="s">
        <v>55</v>
      </c>
      <c r="C75" s="278"/>
      <c r="D75" s="280"/>
      <c r="E75" s="36">
        <v>0</v>
      </c>
      <c r="F75" s="36"/>
      <c r="G75" s="36"/>
      <c r="H75" s="37"/>
      <c r="I75" s="36">
        <v>1</v>
      </c>
      <c r="J75" s="35">
        <v>12.5</v>
      </c>
      <c r="K75" s="60">
        <f t="shared" si="23"/>
        <v>0</v>
      </c>
      <c r="L75" s="43">
        <f t="shared" si="24"/>
        <v>0</v>
      </c>
    </row>
    <row r="76" spans="1:20" ht="15" customHeight="1">
      <c r="A76" s="30">
        <v>7</v>
      </c>
      <c r="B76" s="277" t="s">
        <v>56</v>
      </c>
      <c r="C76" s="278"/>
      <c r="D76" s="280"/>
      <c r="E76" s="36">
        <v>68</v>
      </c>
      <c r="F76" s="36"/>
      <c r="G76" s="36"/>
      <c r="H76" s="37"/>
      <c r="I76" s="36">
        <v>1</v>
      </c>
      <c r="J76" s="35">
        <v>14.5</v>
      </c>
      <c r="K76" s="60">
        <f t="shared" si="23"/>
        <v>68</v>
      </c>
      <c r="L76" s="43">
        <f t="shared" si="24"/>
        <v>986</v>
      </c>
    </row>
    <row r="77" spans="1:20" ht="15" customHeight="1">
      <c r="A77" s="30">
        <v>8</v>
      </c>
      <c r="B77" s="288" t="s">
        <v>65</v>
      </c>
      <c r="C77" s="288"/>
      <c r="D77" s="288"/>
      <c r="E77" s="36">
        <v>300</v>
      </c>
      <c r="F77" s="36"/>
      <c r="G77" s="36"/>
      <c r="H77" s="37"/>
      <c r="I77" s="36">
        <v>1</v>
      </c>
      <c r="J77" s="35">
        <v>12.5</v>
      </c>
      <c r="K77" s="60">
        <f t="shared" si="23"/>
        <v>300</v>
      </c>
      <c r="L77" s="43">
        <f t="shared" si="24"/>
        <v>3750</v>
      </c>
    </row>
    <row r="78" spans="1:20" ht="15" customHeight="1">
      <c r="A78" s="30">
        <v>10</v>
      </c>
      <c r="B78" s="277" t="s">
        <v>54</v>
      </c>
      <c r="C78" s="278"/>
      <c r="D78" s="280"/>
      <c r="E78" s="36">
        <v>0</v>
      </c>
      <c r="F78" s="36"/>
      <c r="G78" s="36"/>
      <c r="H78" s="37"/>
      <c r="I78" s="36">
        <v>1</v>
      </c>
      <c r="J78" s="35">
        <v>14.5</v>
      </c>
      <c r="K78" s="60">
        <f t="shared" si="23"/>
        <v>0</v>
      </c>
      <c r="L78" s="43">
        <f t="shared" ref="L78" si="25">K78*J78</f>
        <v>0</v>
      </c>
    </row>
    <row r="79" spans="1:20" ht="15" customHeight="1">
      <c r="A79" s="30">
        <v>11</v>
      </c>
      <c r="B79" s="277" t="s">
        <v>93</v>
      </c>
      <c r="C79" s="289"/>
      <c r="D79" s="290"/>
      <c r="E79" s="36">
        <v>80</v>
      </c>
      <c r="F79" s="36"/>
      <c r="G79" s="36"/>
      <c r="H79" s="37"/>
      <c r="I79" s="36">
        <v>1</v>
      </c>
      <c r="J79" s="35">
        <v>12.5</v>
      </c>
      <c r="K79" s="60">
        <f t="shared" si="23"/>
        <v>80</v>
      </c>
      <c r="L79" s="43">
        <f t="shared" si="24"/>
        <v>1000</v>
      </c>
    </row>
    <row r="80" spans="1:20" ht="15" customHeight="1">
      <c r="A80" s="30"/>
      <c r="B80" s="288" t="s">
        <v>97</v>
      </c>
      <c r="C80" s="285"/>
      <c r="D80" s="285"/>
      <c r="E80" s="285"/>
      <c r="F80" s="285"/>
      <c r="G80" s="285"/>
      <c r="H80" s="285"/>
      <c r="I80" s="285"/>
      <c r="J80" s="285"/>
      <c r="K80" s="60"/>
      <c r="L80" s="43">
        <f>SUM(L70:L79)</f>
        <v>20218</v>
      </c>
    </row>
    <row r="81" spans="1:12" ht="15" customHeight="1">
      <c r="A81" s="30"/>
      <c r="B81" s="288" t="s">
        <v>98</v>
      </c>
      <c r="C81" s="285"/>
      <c r="D81" s="285"/>
      <c r="E81" s="285"/>
      <c r="F81" s="285"/>
      <c r="G81" s="285"/>
      <c r="H81" s="285"/>
      <c r="I81" s="285"/>
      <c r="J81" s="285"/>
      <c r="K81" s="60"/>
      <c r="L81" s="43">
        <f>T16</f>
        <v>20221.824600000007</v>
      </c>
    </row>
    <row r="82" spans="1:12" ht="15" customHeight="1">
      <c r="A82" s="30"/>
      <c r="B82" s="254" t="s">
        <v>95</v>
      </c>
      <c r="C82" s="254"/>
      <c r="D82" s="254"/>
      <c r="E82" s="287"/>
      <c r="F82" s="287"/>
      <c r="G82" s="287"/>
      <c r="H82" s="287"/>
      <c r="I82" s="287"/>
      <c r="J82" s="287"/>
      <c r="K82" s="60"/>
      <c r="L82" s="97">
        <f>L81-L80</f>
        <v>3.8246000000071945</v>
      </c>
    </row>
    <row r="83" spans="1:12" ht="15" customHeight="1">
      <c r="A83" s="30"/>
      <c r="B83" s="284" t="s">
        <v>96</v>
      </c>
      <c r="C83" s="284"/>
      <c r="D83" s="284"/>
      <c r="E83" s="284"/>
      <c r="F83" s="284"/>
      <c r="G83" s="284"/>
      <c r="H83" s="284"/>
      <c r="I83" s="284"/>
      <c r="J83" s="284"/>
      <c r="K83" s="81"/>
      <c r="L83" s="83">
        <f>L80/L81*100</f>
        <v>99.98108677097315</v>
      </c>
    </row>
    <row r="84" spans="1:12" ht="15.75">
      <c r="A84" s="40"/>
      <c r="B84" s="38"/>
      <c r="C84" s="38"/>
      <c r="D84" s="38"/>
      <c r="E84" s="70"/>
      <c r="F84" s="70"/>
      <c r="G84" s="70"/>
      <c r="H84" s="70"/>
      <c r="I84" s="70"/>
      <c r="J84" s="71"/>
      <c r="K84" s="79"/>
      <c r="L84" s="80"/>
    </row>
    <row r="85" spans="1:12">
      <c r="K85" s="29"/>
      <c r="L85" s="29"/>
    </row>
    <row r="86" spans="1:12" ht="15.7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9"/>
      <c r="L86" s="29"/>
    </row>
    <row r="87" spans="1:12" ht="15.7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9"/>
      <c r="L87" s="29"/>
    </row>
    <row r="88" spans="1:12" ht="15.7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9"/>
      <c r="L88" s="29"/>
    </row>
    <row r="89" spans="1:12" ht="15.75">
      <c r="A89" s="28"/>
      <c r="B89" s="28"/>
      <c r="C89" s="28"/>
    </row>
    <row r="90" spans="1:12" ht="15.75">
      <c r="A90" s="28"/>
      <c r="B90" s="28"/>
      <c r="C90" s="28"/>
    </row>
    <row r="91" spans="1:12" ht="15.75">
      <c r="A91" s="28"/>
      <c r="B91" s="28"/>
      <c r="C91" s="28"/>
    </row>
    <row r="92" spans="1:12" ht="15.75">
      <c r="A92" s="28"/>
      <c r="B92" s="28"/>
      <c r="C92" s="28"/>
    </row>
    <row r="93" spans="1:12" ht="15.75">
      <c r="A93" s="28"/>
      <c r="B93" s="28"/>
      <c r="C93" s="28"/>
    </row>
    <row r="94" spans="1:12" ht="15.75">
      <c r="A94" s="28"/>
      <c r="B94" s="28"/>
      <c r="C94" s="28"/>
    </row>
    <row r="95" spans="1:12" ht="15.75">
      <c r="A95" s="28"/>
      <c r="B95" s="28"/>
      <c r="C95" s="28"/>
    </row>
    <row r="96" spans="1:12" ht="15.75">
      <c r="A96" s="28"/>
      <c r="B96" s="28"/>
      <c r="C96" s="28"/>
    </row>
    <row r="97" spans="1:12" ht="15.75">
      <c r="A97" s="28"/>
      <c r="B97" s="28"/>
      <c r="C97" s="28"/>
    </row>
    <row r="98" spans="1:12" ht="15.75">
      <c r="A98" s="28"/>
      <c r="B98" s="28"/>
      <c r="C98" s="28"/>
    </row>
    <row r="99" spans="1:12" ht="15.75">
      <c r="A99" s="28"/>
      <c r="B99" s="28"/>
      <c r="C99" s="28"/>
    </row>
    <row r="100" spans="1:12" ht="15.75">
      <c r="A100" s="28"/>
      <c r="B100" s="28"/>
      <c r="C100" s="28"/>
    </row>
    <row r="101" spans="1:12" ht="15.75">
      <c r="A101" s="28"/>
      <c r="B101" s="28"/>
      <c r="C101" s="28"/>
    </row>
    <row r="102" spans="1:12" ht="15.75">
      <c r="A102" s="28"/>
      <c r="B102" s="28"/>
      <c r="C102" s="28"/>
    </row>
    <row r="103" spans="1:12" ht="15.75">
      <c r="A103" s="28"/>
      <c r="B103" s="28"/>
      <c r="C103" s="28"/>
    </row>
    <row r="104" spans="1:12" ht="15.75">
      <c r="A104" s="28"/>
      <c r="B104" s="28"/>
      <c r="C104" s="28"/>
    </row>
    <row r="105" spans="1:12" ht="15.75">
      <c r="A105" s="28"/>
      <c r="B105" s="28"/>
      <c r="C105" s="28"/>
    </row>
    <row r="106" spans="1:12" ht="15.75">
      <c r="A106" s="28"/>
      <c r="B106" s="28"/>
      <c r="C106" s="28"/>
    </row>
    <row r="107" spans="1:12" ht="15.7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63"/>
      <c r="L107" s="44"/>
    </row>
    <row r="108" spans="1:12" ht="15.7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63"/>
      <c r="L108" s="44"/>
    </row>
    <row r="109" spans="1:12" ht="15.7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63"/>
      <c r="L109" s="44"/>
    </row>
  </sheetData>
  <mergeCells count="75">
    <mergeCell ref="Y1:AA1"/>
    <mergeCell ref="B3:D3"/>
    <mergeCell ref="B83:J83"/>
    <mergeCell ref="B82:J82"/>
    <mergeCell ref="B81:J81"/>
    <mergeCell ref="B80:J80"/>
    <mergeCell ref="B52:J52"/>
    <mergeCell ref="B53:J53"/>
    <mergeCell ref="B54:J54"/>
    <mergeCell ref="B55:J55"/>
    <mergeCell ref="B79:D79"/>
    <mergeCell ref="B77:D77"/>
    <mergeCell ref="B72:D72"/>
    <mergeCell ref="B73:D73"/>
    <mergeCell ref="B74:D74"/>
    <mergeCell ref="B75:D75"/>
    <mergeCell ref="B76:D76"/>
    <mergeCell ref="B78:D78"/>
    <mergeCell ref="B70:D70"/>
    <mergeCell ref="B71:D71"/>
    <mergeCell ref="B38:D38"/>
    <mergeCell ref="B39:D39"/>
    <mergeCell ref="B40:D40"/>
    <mergeCell ref="B41:D41"/>
    <mergeCell ref="B42:D42"/>
    <mergeCell ref="B43:D43"/>
    <mergeCell ref="B44:D44"/>
    <mergeCell ref="B45:D45"/>
    <mergeCell ref="B47:D47"/>
    <mergeCell ref="B49:D49"/>
    <mergeCell ref="B50:D50"/>
    <mergeCell ref="B51:D51"/>
    <mergeCell ref="B27:D27"/>
    <mergeCell ref="B28:D28"/>
    <mergeCell ref="B29:D29"/>
    <mergeCell ref="B30:D30"/>
    <mergeCell ref="B35:D35"/>
    <mergeCell ref="B22:D22"/>
    <mergeCell ref="B23:D23"/>
    <mergeCell ref="B24:D24"/>
    <mergeCell ref="B25:D25"/>
    <mergeCell ref="B26:D26"/>
    <mergeCell ref="B21:D2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M18:N18"/>
    <mergeCell ref="M19:N19"/>
    <mergeCell ref="M20:N20"/>
    <mergeCell ref="B8:D8"/>
    <mergeCell ref="A1:D1"/>
    <mergeCell ref="B2:D2"/>
    <mergeCell ref="B4:D4"/>
    <mergeCell ref="B5:D5"/>
    <mergeCell ref="B7:D7"/>
    <mergeCell ref="M14:N14"/>
    <mergeCell ref="M12:N12"/>
    <mergeCell ref="M13:N13"/>
    <mergeCell ref="B6:D6"/>
    <mergeCell ref="B46:D46"/>
    <mergeCell ref="M33:N33"/>
    <mergeCell ref="M34:N34"/>
    <mergeCell ref="M29:N29"/>
    <mergeCell ref="M30:N30"/>
    <mergeCell ref="M31:N31"/>
    <mergeCell ref="B37:D37"/>
    <mergeCell ref="B36:D3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2"/>
  <sheetViews>
    <sheetView workbookViewId="0">
      <selection sqref="A1:XFD1048576"/>
    </sheetView>
  </sheetViews>
  <sheetFormatPr defaultRowHeight="15"/>
  <cols>
    <col min="3" max="3" width="30.28515625" customWidth="1"/>
  </cols>
  <sheetData>
    <row r="1" spans="1:13" ht="15.75">
      <c r="A1" s="261" t="s">
        <v>73</v>
      </c>
      <c r="B1" s="261"/>
      <c r="C1" s="261"/>
      <c r="D1" s="31">
        <v>0</v>
      </c>
      <c r="E1" s="32"/>
      <c r="F1" s="31"/>
      <c r="G1" s="33"/>
      <c r="H1" s="64">
        <v>1</v>
      </c>
      <c r="I1" s="34">
        <v>17.5</v>
      </c>
      <c r="J1" s="60">
        <f>D1*H1</f>
        <v>0</v>
      </c>
      <c r="K1" s="43">
        <f t="shared" ref="K1:K14" si="0">J1*I1</f>
        <v>0</v>
      </c>
    </row>
    <row r="2" spans="1:13" ht="15.75">
      <c r="A2" s="286" t="s">
        <v>140</v>
      </c>
      <c r="B2" s="274"/>
      <c r="C2" s="275"/>
      <c r="D2" s="31">
        <v>30</v>
      </c>
      <c r="E2" s="32"/>
      <c r="F2" s="31"/>
      <c r="G2" s="33"/>
      <c r="H2" s="64">
        <v>1</v>
      </c>
      <c r="I2" s="34">
        <v>17.5</v>
      </c>
      <c r="J2" s="60">
        <f>D2*H2</f>
        <v>30</v>
      </c>
      <c r="K2" s="43">
        <f t="shared" si="0"/>
        <v>525</v>
      </c>
    </row>
    <row r="3" spans="1:13" ht="15.75">
      <c r="A3" s="262" t="s">
        <v>12</v>
      </c>
      <c r="B3" s="262"/>
      <c r="C3" s="262"/>
      <c r="D3" s="64">
        <v>30</v>
      </c>
      <c r="E3" s="32"/>
      <c r="F3" s="31"/>
      <c r="G3" s="33"/>
      <c r="H3" s="31">
        <v>1</v>
      </c>
      <c r="I3" s="34">
        <v>17.5</v>
      </c>
      <c r="J3" s="60">
        <f t="shared" ref="J3:J5" si="1">D3*H3</f>
        <v>30</v>
      </c>
      <c r="K3" s="43">
        <f t="shared" si="0"/>
        <v>525</v>
      </c>
    </row>
    <row r="4" spans="1:13" ht="15.75">
      <c r="A4" s="262" t="s">
        <v>84</v>
      </c>
      <c r="B4" s="262"/>
      <c r="C4" s="262"/>
      <c r="D4" s="64">
        <v>20</v>
      </c>
      <c r="E4" s="32"/>
      <c r="F4" s="31"/>
      <c r="G4" s="33"/>
      <c r="H4" s="31">
        <v>1</v>
      </c>
      <c r="I4" s="34">
        <v>17.5</v>
      </c>
      <c r="J4" s="60">
        <f t="shared" si="1"/>
        <v>20</v>
      </c>
      <c r="K4" s="65">
        <f t="shared" si="0"/>
        <v>350</v>
      </c>
    </row>
    <row r="5" spans="1:13" ht="15.75">
      <c r="A5" s="262" t="s">
        <v>89</v>
      </c>
      <c r="B5" s="262"/>
      <c r="C5" s="262"/>
      <c r="D5" s="66">
        <v>10</v>
      </c>
      <c r="E5" s="32"/>
      <c r="F5" s="31"/>
      <c r="G5" s="33"/>
      <c r="H5" s="33">
        <v>1</v>
      </c>
      <c r="I5" s="34">
        <v>17.5</v>
      </c>
      <c r="J5" s="60">
        <f t="shared" si="1"/>
        <v>10</v>
      </c>
      <c r="K5" s="65">
        <f t="shared" si="0"/>
        <v>175</v>
      </c>
    </row>
    <row r="6" spans="1:13" ht="15.75">
      <c r="A6" s="263" t="s">
        <v>13</v>
      </c>
      <c r="B6" s="264"/>
      <c r="C6" s="265"/>
      <c r="D6" s="16">
        <v>0</v>
      </c>
      <c r="E6" s="15">
        <v>1</v>
      </c>
      <c r="F6" s="15"/>
      <c r="G6" s="16"/>
      <c r="H6" s="16"/>
      <c r="I6" s="86">
        <v>35</v>
      </c>
      <c r="J6" s="87">
        <f>D6*E6</f>
        <v>0</v>
      </c>
      <c r="K6" s="88">
        <f t="shared" si="0"/>
        <v>0</v>
      </c>
    </row>
    <row r="7" spans="1:13" ht="15.75">
      <c r="A7" s="258" t="s">
        <v>14</v>
      </c>
      <c r="B7" s="258"/>
      <c r="C7" s="258"/>
      <c r="D7" s="20">
        <v>16</v>
      </c>
      <c r="E7" s="20">
        <v>0</v>
      </c>
      <c r="F7" s="20"/>
      <c r="G7" s="85"/>
      <c r="H7" s="20"/>
      <c r="I7" s="86">
        <v>35</v>
      </c>
      <c r="J7" s="87">
        <f>D7*E7</f>
        <v>0</v>
      </c>
      <c r="K7" s="88">
        <f t="shared" si="0"/>
        <v>0</v>
      </c>
    </row>
    <row r="8" spans="1:13" ht="15.75">
      <c r="A8" s="267" t="s">
        <v>15</v>
      </c>
      <c r="B8" s="267"/>
      <c r="C8" s="267"/>
      <c r="D8" s="20">
        <v>20</v>
      </c>
      <c r="E8" s="89"/>
      <c r="F8" s="20"/>
      <c r="G8" s="85"/>
      <c r="H8" s="20">
        <v>1</v>
      </c>
      <c r="I8" s="86">
        <v>35</v>
      </c>
      <c r="J8" s="87">
        <f t="shared" ref="J8:J10" si="2">D8*H8</f>
        <v>20</v>
      </c>
      <c r="K8" s="88">
        <f t="shared" si="0"/>
        <v>700</v>
      </c>
    </row>
    <row r="9" spans="1:13" ht="15.75">
      <c r="A9" s="267" t="s">
        <v>16</v>
      </c>
      <c r="B9" s="267"/>
      <c r="C9" s="267"/>
      <c r="D9" s="64">
        <v>100</v>
      </c>
      <c r="E9" s="32"/>
      <c r="F9" s="36"/>
      <c r="G9" s="37"/>
      <c r="H9" s="36">
        <v>1</v>
      </c>
      <c r="I9" s="35">
        <v>35</v>
      </c>
      <c r="J9" s="60">
        <f t="shared" si="2"/>
        <v>100</v>
      </c>
      <c r="K9" s="43">
        <f t="shared" si="0"/>
        <v>3500</v>
      </c>
    </row>
    <row r="10" spans="1:13" ht="15.75">
      <c r="A10" s="267" t="s">
        <v>67</v>
      </c>
      <c r="B10" s="267"/>
      <c r="C10" s="267"/>
      <c r="D10" s="64">
        <v>153</v>
      </c>
      <c r="E10" s="32"/>
      <c r="F10" s="36"/>
      <c r="G10" s="37"/>
      <c r="H10" s="36">
        <v>1</v>
      </c>
      <c r="I10" s="35">
        <v>35</v>
      </c>
      <c r="J10" s="60">
        <f t="shared" si="2"/>
        <v>153</v>
      </c>
      <c r="K10" s="43">
        <f t="shared" si="0"/>
        <v>5355</v>
      </c>
    </row>
    <row r="11" spans="1:13" ht="15.75">
      <c r="A11" s="267" t="s">
        <v>39</v>
      </c>
      <c r="B11" s="267"/>
      <c r="C11" s="267"/>
      <c r="D11" s="36">
        <v>25</v>
      </c>
      <c r="E11" s="64">
        <v>17</v>
      </c>
      <c r="F11" s="36"/>
      <c r="G11" s="37"/>
      <c r="H11" s="36"/>
      <c r="I11" s="35">
        <v>17.5</v>
      </c>
      <c r="J11" s="60">
        <f t="shared" ref="J11:J12" si="3">D11*E11</f>
        <v>425</v>
      </c>
      <c r="K11" s="65">
        <f t="shared" si="0"/>
        <v>7437.5</v>
      </c>
      <c r="M11">
        <v>25</v>
      </c>
    </row>
    <row r="12" spans="1:13" ht="15.75">
      <c r="A12" s="267" t="s">
        <v>38</v>
      </c>
      <c r="B12" s="267"/>
      <c r="C12" s="267"/>
      <c r="D12" s="36">
        <v>10</v>
      </c>
      <c r="E12" s="64">
        <v>17</v>
      </c>
      <c r="F12" s="36"/>
      <c r="G12" s="37"/>
      <c r="H12" s="36"/>
      <c r="I12" s="35">
        <v>17.5</v>
      </c>
      <c r="J12" s="60">
        <f t="shared" si="3"/>
        <v>170</v>
      </c>
      <c r="K12" s="65">
        <f t="shared" si="0"/>
        <v>2975</v>
      </c>
    </row>
    <row r="13" spans="1:13" ht="15.75">
      <c r="A13" s="255" t="s">
        <v>105</v>
      </c>
      <c r="B13" s="256"/>
      <c r="C13" s="257"/>
      <c r="D13" s="33">
        <v>240</v>
      </c>
      <c r="E13" s="32"/>
      <c r="F13" s="31">
        <v>1</v>
      </c>
      <c r="G13" s="33"/>
      <c r="H13" s="33"/>
      <c r="I13" s="35">
        <v>17.5</v>
      </c>
      <c r="J13" s="60">
        <f t="shared" ref="J13:J14" si="4">D13*F13</f>
        <v>240</v>
      </c>
      <c r="K13" s="43">
        <f t="shared" si="0"/>
        <v>4200</v>
      </c>
      <c r="L13">
        <v>240</v>
      </c>
    </row>
    <row r="14" spans="1:13" ht="15.75">
      <c r="A14" s="255" t="s">
        <v>104</v>
      </c>
      <c r="B14" s="256"/>
      <c r="C14" s="257"/>
      <c r="D14" s="66">
        <v>80</v>
      </c>
      <c r="E14" s="32"/>
      <c r="F14" s="31">
        <v>1</v>
      </c>
      <c r="G14" s="33"/>
      <c r="H14" s="33"/>
      <c r="I14" s="35">
        <v>17.5</v>
      </c>
      <c r="J14" s="60">
        <f t="shared" si="4"/>
        <v>80</v>
      </c>
      <c r="K14" s="65">
        <f t="shared" si="0"/>
        <v>1400</v>
      </c>
      <c r="M14">
        <v>80</v>
      </c>
    </row>
    <row r="15" spans="1:13" ht="15.75">
      <c r="A15" s="268" t="s">
        <v>69</v>
      </c>
      <c r="B15" s="268"/>
      <c r="C15" s="268"/>
      <c r="D15" s="54"/>
      <c r="E15" s="54"/>
      <c r="F15" s="54"/>
      <c r="G15" s="54"/>
      <c r="H15" s="54"/>
      <c r="I15" s="53"/>
      <c r="J15" s="61"/>
      <c r="K15" s="57"/>
    </row>
    <row r="16" spans="1:13" ht="15.75">
      <c r="A16" s="269" t="s">
        <v>30</v>
      </c>
      <c r="B16" s="270"/>
      <c r="C16" s="271"/>
      <c r="D16" s="54">
        <v>12</v>
      </c>
      <c r="E16" s="72">
        <v>16</v>
      </c>
      <c r="F16" s="54">
        <v>16</v>
      </c>
      <c r="G16" s="55"/>
      <c r="H16" s="54"/>
      <c r="I16" s="56"/>
      <c r="J16" s="61">
        <f t="shared" ref="J16:J19" si="5">D16*F16</f>
        <v>192</v>
      </c>
      <c r="K16" s="57">
        <f t="shared" ref="K16:K21" si="6">J16*I16</f>
        <v>0</v>
      </c>
    </row>
    <row r="17" spans="1:13" ht="15.75">
      <c r="A17" s="269" t="s">
        <v>28</v>
      </c>
      <c r="B17" s="270"/>
      <c r="C17" s="271"/>
      <c r="D17" s="54">
        <v>12</v>
      </c>
      <c r="E17" s="72"/>
      <c r="F17" s="54">
        <v>2</v>
      </c>
      <c r="G17" s="55"/>
      <c r="H17" s="54"/>
      <c r="I17" s="56"/>
      <c r="J17" s="61">
        <f t="shared" si="5"/>
        <v>24</v>
      </c>
      <c r="K17" s="57">
        <f t="shared" si="6"/>
        <v>0</v>
      </c>
    </row>
    <row r="18" spans="1:13" ht="15.75">
      <c r="A18" s="269" t="s">
        <v>29</v>
      </c>
      <c r="B18" s="270"/>
      <c r="C18" s="271"/>
      <c r="D18" s="54">
        <v>15</v>
      </c>
      <c r="E18" s="72"/>
      <c r="F18" s="73">
        <v>0</v>
      </c>
      <c r="G18" s="55"/>
      <c r="H18" s="54"/>
      <c r="I18" s="56"/>
      <c r="J18" s="61">
        <f t="shared" si="5"/>
        <v>0</v>
      </c>
      <c r="K18" s="57">
        <f t="shared" si="6"/>
        <v>0</v>
      </c>
    </row>
    <row r="19" spans="1:13" ht="15.75">
      <c r="A19" s="146" t="s">
        <v>57</v>
      </c>
      <c r="B19" s="149"/>
      <c r="C19" s="148"/>
      <c r="D19" s="54">
        <v>10</v>
      </c>
      <c r="E19" s="72"/>
      <c r="F19" s="73">
        <v>9</v>
      </c>
      <c r="G19" s="55"/>
      <c r="H19" s="54"/>
      <c r="I19" s="56"/>
      <c r="J19" s="61">
        <f t="shared" si="5"/>
        <v>90</v>
      </c>
      <c r="K19" s="57">
        <f t="shared" si="6"/>
        <v>0</v>
      </c>
    </row>
    <row r="20" spans="1:13" ht="15.75">
      <c r="A20" s="255" t="s">
        <v>32</v>
      </c>
      <c r="B20" s="266"/>
      <c r="C20" s="257"/>
      <c r="D20" s="54"/>
      <c r="E20" s="54"/>
      <c r="F20" s="54"/>
      <c r="G20" s="55"/>
      <c r="H20" s="54"/>
      <c r="I20" s="56">
        <v>17.5</v>
      </c>
      <c r="J20" s="56">
        <f>SUM(J16:J19)</f>
        <v>306</v>
      </c>
      <c r="K20" s="75">
        <f t="shared" si="6"/>
        <v>5355</v>
      </c>
    </row>
    <row r="21" spans="1:13" ht="15.75">
      <c r="A21" s="267" t="s">
        <v>41</v>
      </c>
      <c r="B21" s="267"/>
      <c r="C21" s="267"/>
      <c r="D21" s="36">
        <v>4</v>
      </c>
      <c r="E21" s="36"/>
      <c r="F21" s="36"/>
      <c r="G21" s="37">
        <v>8</v>
      </c>
      <c r="H21" s="36"/>
      <c r="I21" s="35">
        <v>17.5</v>
      </c>
      <c r="J21" s="60">
        <f>D21*G21</f>
        <v>32</v>
      </c>
      <c r="K21" s="43">
        <f t="shared" si="6"/>
        <v>560</v>
      </c>
    </row>
    <row r="22" spans="1:13" ht="15.75">
      <c r="A22" s="268" t="s">
        <v>40</v>
      </c>
      <c r="B22" s="268"/>
      <c r="C22" s="268"/>
      <c r="D22" s="54"/>
      <c r="E22" s="54"/>
      <c r="F22" s="54"/>
      <c r="G22" s="55"/>
      <c r="H22" s="54"/>
      <c r="I22" s="56"/>
      <c r="J22" s="61"/>
      <c r="K22" s="57"/>
    </row>
    <row r="23" spans="1:13" ht="15.75">
      <c r="A23" s="269" t="s">
        <v>58</v>
      </c>
      <c r="B23" s="272"/>
      <c r="C23" s="273"/>
      <c r="D23" s="54">
        <v>13</v>
      </c>
      <c r="E23" s="54">
        <v>41</v>
      </c>
      <c r="F23" s="72"/>
      <c r="G23" s="55"/>
      <c r="H23" s="54"/>
      <c r="I23" s="56"/>
      <c r="J23" s="61">
        <f t="shared" ref="J23:J25" si="7">D23*E23</f>
        <v>533</v>
      </c>
      <c r="K23" s="57">
        <f t="shared" ref="K23:K28" si="8">J23*I23</f>
        <v>0</v>
      </c>
    </row>
    <row r="24" spans="1:13" ht="15.75">
      <c r="A24" s="269" t="s">
        <v>59</v>
      </c>
      <c r="B24" s="272"/>
      <c r="C24" s="273"/>
      <c r="D24" s="54">
        <v>16</v>
      </c>
      <c r="E24" s="54">
        <v>1</v>
      </c>
      <c r="F24" s="72"/>
      <c r="G24" s="55"/>
      <c r="H24" s="54"/>
      <c r="I24" s="56"/>
      <c r="J24" s="61">
        <f t="shared" si="7"/>
        <v>16</v>
      </c>
      <c r="K24" s="57">
        <f t="shared" si="8"/>
        <v>0</v>
      </c>
    </row>
    <row r="25" spans="1:13" ht="15.75">
      <c r="A25" s="269" t="s">
        <v>60</v>
      </c>
      <c r="B25" s="272"/>
      <c r="C25" s="273"/>
      <c r="D25" s="54">
        <v>4</v>
      </c>
      <c r="E25" s="73">
        <v>17</v>
      </c>
      <c r="F25" s="72"/>
      <c r="G25" s="55"/>
      <c r="H25" s="54"/>
      <c r="I25" s="56"/>
      <c r="J25" s="61">
        <f t="shared" si="7"/>
        <v>68</v>
      </c>
      <c r="K25" s="57">
        <f t="shared" si="8"/>
        <v>0</v>
      </c>
      <c r="M25">
        <v>51</v>
      </c>
    </row>
    <row r="26" spans="1:13" ht="15.75">
      <c r="A26" s="255" t="s">
        <v>32</v>
      </c>
      <c r="B26" s="274"/>
      <c r="C26" s="275"/>
      <c r="D26" s="54"/>
      <c r="E26" s="54"/>
      <c r="F26" s="54"/>
      <c r="G26" s="55"/>
      <c r="H26" s="54"/>
      <c r="I26" s="76">
        <v>17.5</v>
      </c>
      <c r="J26" s="56">
        <f>SUM(J23:J25)</f>
        <v>617</v>
      </c>
      <c r="K26" s="75">
        <f t="shared" si="8"/>
        <v>10797.5</v>
      </c>
    </row>
    <row r="27" spans="1:13" ht="15.75">
      <c r="A27" s="267" t="s">
        <v>42</v>
      </c>
      <c r="B27" s="267"/>
      <c r="C27" s="267"/>
      <c r="D27" s="64">
        <v>65</v>
      </c>
      <c r="E27" s="36"/>
      <c r="F27" s="64">
        <v>1</v>
      </c>
      <c r="G27" s="37"/>
      <c r="H27" s="36"/>
      <c r="I27" s="35">
        <v>17.5</v>
      </c>
      <c r="J27" s="60">
        <f>D27*F27</f>
        <v>65</v>
      </c>
      <c r="K27" s="65">
        <f t="shared" si="8"/>
        <v>1137.5</v>
      </c>
    </row>
    <row r="28" spans="1:13" ht="15.75">
      <c r="A28" s="255" t="s">
        <v>19</v>
      </c>
      <c r="B28" s="256"/>
      <c r="C28" s="257"/>
      <c r="D28" s="64">
        <v>44</v>
      </c>
      <c r="E28" s="31"/>
      <c r="F28" s="31"/>
      <c r="G28" s="33"/>
      <c r="H28" s="33">
        <v>1</v>
      </c>
      <c r="I28" s="35">
        <v>17.5</v>
      </c>
      <c r="J28" s="60">
        <f>D28*H28</f>
        <v>44</v>
      </c>
      <c r="K28" s="43">
        <f t="shared" si="8"/>
        <v>770</v>
      </c>
    </row>
    <row r="29" spans="1:13" ht="15.75">
      <c r="A29" s="269" t="s">
        <v>35</v>
      </c>
      <c r="B29" s="276"/>
      <c r="C29" s="271"/>
      <c r="D29" s="58"/>
      <c r="E29" s="59"/>
      <c r="F29" s="59"/>
      <c r="G29" s="59"/>
      <c r="H29" s="59"/>
      <c r="I29" s="53"/>
      <c r="J29" s="61"/>
      <c r="K29" s="57"/>
    </row>
    <row r="30" spans="1:13" ht="15.75">
      <c r="A30" s="146" t="s">
        <v>68</v>
      </c>
      <c r="B30" s="147"/>
      <c r="C30" s="148"/>
      <c r="D30" s="58">
        <v>1</v>
      </c>
      <c r="E30" s="59"/>
      <c r="F30" s="73">
        <v>52</v>
      </c>
      <c r="G30" s="58"/>
      <c r="H30" s="58"/>
      <c r="I30" s="53"/>
      <c r="J30" s="61">
        <f t="shared" ref="J30:J31" si="9">D30*F30</f>
        <v>52</v>
      </c>
      <c r="K30" s="57">
        <f t="shared" ref="K30:K47" si="10">J30*I30</f>
        <v>0</v>
      </c>
    </row>
    <row r="31" spans="1:13" ht="15.75">
      <c r="A31" s="146" t="s">
        <v>36</v>
      </c>
      <c r="B31" s="147"/>
      <c r="C31" s="148"/>
      <c r="D31" s="58">
        <v>15</v>
      </c>
      <c r="E31" s="59"/>
      <c r="F31" s="59">
        <v>6</v>
      </c>
      <c r="G31" s="58"/>
      <c r="H31" s="58"/>
      <c r="I31" s="56"/>
      <c r="J31" s="61">
        <f t="shared" si="9"/>
        <v>90</v>
      </c>
      <c r="K31" s="57">
        <f t="shared" si="10"/>
        <v>0</v>
      </c>
    </row>
    <row r="32" spans="1:13" ht="15.75">
      <c r="A32" s="146" t="s">
        <v>37</v>
      </c>
      <c r="B32" s="147"/>
      <c r="C32" s="148"/>
      <c r="D32" s="58">
        <v>1</v>
      </c>
      <c r="E32" s="73">
        <v>0</v>
      </c>
      <c r="F32" s="59"/>
      <c r="G32" s="58"/>
      <c r="H32" s="58"/>
      <c r="I32" s="56"/>
      <c r="J32" s="61">
        <f>D32*E32</f>
        <v>0</v>
      </c>
      <c r="K32" s="57">
        <f t="shared" si="10"/>
        <v>0</v>
      </c>
    </row>
    <row r="33" spans="1:13" ht="15.75">
      <c r="A33" s="143" t="s">
        <v>32</v>
      </c>
      <c r="B33" s="144"/>
      <c r="C33" s="145"/>
      <c r="D33" s="58"/>
      <c r="E33" s="59"/>
      <c r="F33" s="59"/>
      <c r="G33" s="58"/>
      <c r="H33" s="58"/>
      <c r="I33" s="56">
        <v>17.5</v>
      </c>
      <c r="J33" s="56">
        <f>SUM(J30:J32)</f>
        <v>142</v>
      </c>
      <c r="K33" s="75">
        <f t="shared" si="10"/>
        <v>2485</v>
      </c>
    </row>
    <row r="34" spans="1:13" ht="15.75">
      <c r="A34" s="277" t="s">
        <v>20</v>
      </c>
      <c r="B34" s="278"/>
      <c r="C34" s="279"/>
      <c r="D34" s="33">
        <v>34</v>
      </c>
      <c r="E34" s="31"/>
      <c r="F34" s="31"/>
      <c r="G34" s="33"/>
      <c r="H34" s="33">
        <v>0</v>
      </c>
      <c r="I34" s="35">
        <v>17.5</v>
      </c>
      <c r="J34" s="60">
        <f>D34*E34</f>
        <v>0</v>
      </c>
      <c r="K34" s="43">
        <f t="shared" si="10"/>
        <v>0</v>
      </c>
    </row>
    <row r="35" spans="1:13" ht="15.75">
      <c r="A35" s="255" t="s">
        <v>21</v>
      </c>
      <c r="B35" s="256"/>
      <c r="C35" s="257"/>
      <c r="D35" s="33">
        <v>25</v>
      </c>
      <c r="E35" s="31"/>
      <c r="F35" s="31">
        <v>1</v>
      </c>
      <c r="G35" s="33"/>
      <c r="H35" s="33"/>
      <c r="I35" s="35">
        <v>17.5</v>
      </c>
      <c r="J35" s="60">
        <f t="shared" ref="J35:J37" si="11">D35*F35</f>
        <v>25</v>
      </c>
      <c r="K35" s="43">
        <f t="shared" si="10"/>
        <v>437.5</v>
      </c>
      <c r="L35">
        <v>15</v>
      </c>
      <c r="M35">
        <v>10</v>
      </c>
    </row>
    <row r="36" spans="1:13" ht="15.75">
      <c r="A36" s="254" t="s">
        <v>22</v>
      </c>
      <c r="B36" s="254"/>
      <c r="C36" s="254"/>
      <c r="D36" s="36">
        <v>20</v>
      </c>
      <c r="E36" s="36"/>
      <c r="F36" s="36">
        <v>0</v>
      </c>
      <c r="G36" s="37"/>
      <c r="H36" s="36"/>
      <c r="I36" s="35">
        <v>17.5</v>
      </c>
      <c r="J36" s="60">
        <f t="shared" si="11"/>
        <v>0</v>
      </c>
      <c r="K36" s="65">
        <f t="shared" si="10"/>
        <v>0</v>
      </c>
    </row>
    <row r="37" spans="1:13" ht="15.75">
      <c r="A37" s="267" t="s">
        <v>23</v>
      </c>
      <c r="B37" s="267"/>
      <c r="C37" s="267"/>
      <c r="D37" s="64">
        <v>20</v>
      </c>
      <c r="E37" s="36"/>
      <c r="F37" s="36">
        <v>1</v>
      </c>
      <c r="G37" s="37"/>
      <c r="H37" s="36"/>
      <c r="I37" s="35">
        <v>17.5</v>
      </c>
      <c r="J37" s="60">
        <f t="shared" si="11"/>
        <v>20</v>
      </c>
      <c r="K37" s="65">
        <f t="shared" si="10"/>
        <v>350</v>
      </c>
    </row>
    <row r="38" spans="1:13" ht="15.75">
      <c r="A38" s="277" t="s">
        <v>24</v>
      </c>
      <c r="B38" s="278"/>
      <c r="C38" s="280"/>
      <c r="D38" s="33">
        <v>10</v>
      </c>
      <c r="E38" s="31"/>
      <c r="F38" s="31"/>
      <c r="G38" s="33"/>
      <c r="H38" s="33">
        <v>1</v>
      </c>
      <c r="I38" s="35">
        <v>17.5</v>
      </c>
      <c r="J38" s="60">
        <f>D38*E38</f>
        <v>0</v>
      </c>
      <c r="K38" s="119">
        <f t="shared" si="10"/>
        <v>0</v>
      </c>
    </row>
    <row r="39" spans="1:13" ht="15.75">
      <c r="A39" s="281" t="s">
        <v>106</v>
      </c>
      <c r="B39" s="281"/>
      <c r="C39" s="281"/>
      <c r="D39" s="64">
        <v>44</v>
      </c>
      <c r="E39" s="36"/>
      <c r="F39" s="36"/>
      <c r="G39" s="37"/>
      <c r="H39" s="64">
        <v>1</v>
      </c>
      <c r="I39" s="35">
        <v>17.5</v>
      </c>
      <c r="J39" s="60">
        <f t="shared" ref="J39:J47" si="12">D39*H39</f>
        <v>44</v>
      </c>
      <c r="K39" s="120">
        <f t="shared" si="10"/>
        <v>770</v>
      </c>
    </row>
    <row r="40" spans="1:13" ht="15.75">
      <c r="A40" s="281" t="s">
        <v>49</v>
      </c>
      <c r="B40" s="281"/>
      <c r="C40" s="281"/>
      <c r="D40" s="64">
        <v>44</v>
      </c>
      <c r="E40" s="36"/>
      <c r="F40" s="36"/>
      <c r="G40" s="37"/>
      <c r="H40" s="64">
        <v>1</v>
      </c>
      <c r="I40" s="35">
        <v>17.5</v>
      </c>
      <c r="J40" s="60">
        <f t="shared" si="12"/>
        <v>44</v>
      </c>
      <c r="K40" s="120">
        <f t="shared" si="10"/>
        <v>770</v>
      </c>
    </row>
    <row r="41" spans="1:13" ht="15.75">
      <c r="A41" s="281" t="s">
        <v>50</v>
      </c>
      <c r="B41" s="281"/>
      <c r="C41" s="281"/>
      <c r="D41" s="64">
        <v>44</v>
      </c>
      <c r="E41" s="36"/>
      <c r="F41" s="36"/>
      <c r="G41" s="37"/>
      <c r="H41" s="64">
        <v>1</v>
      </c>
      <c r="I41" s="35">
        <v>17.5</v>
      </c>
      <c r="J41" s="60">
        <f t="shared" si="12"/>
        <v>44</v>
      </c>
      <c r="K41" s="120">
        <f t="shared" si="10"/>
        <v>770</v>
      </c>
    </row>
    <row r="42" spans="1:13" ht="15.75">
      <c r="A42" s="282" t="s">
        <v>61</v>
      </c>
      <c r="B42" s="282"/>
      <c r="C42" s="282"/>
      <c r="D42" s="36">
        <v>50</v>
      </c>
      <c r="E42" s="36"/>
      <c r="F42" s="36"/>
      <c r="G42" s="37"/>
      <c r="H42" s="64">
        <v>0</v>
      </c>
      <c r="I42" s="35">
        <v>17.5</v>
      </c>
      <c r="J42" s="60">
        <f t="shared" si="12"/>
        <v>0</v>
      </c>
      <c r="K42" s="119">
        <f t="shared" si="10"/>
        <v>0</v>
      </c>
    </row>
    <row r="43" spans="1:13" ht="15.75">
      <c r="A43" s="281" t="s">
        <v>62</v>
      </c>
      <c r="B43" s="281"/>
      <c r="C43" s="281"/>
      <c r="D43" s="64">
        <v>44</v>
      </c>
      <c r="E43" s="36"/>
      <c r="F43" s="36"/>
      <c r="G43" s="37"/>
      <c r="H43" s="36">
        <v>1</v>
      </c>
      <c r="I43" s="35">
        <v>17.5</v>
      </c>
      <c r="J43" s="60">
        <f t="shared" si="12"/>
        <v>44</v>
      </c>
      <c r="K43" s="120">
        <f t="shared" si="10"/>
        <v>770</v>
      </c>
    </row>
    <row r="44" spans="1:13" ht="15.75">
      <c r="A44" s="281" t="s">
        <v>143</v>
      </c>
      <c r="B44" s="281"/>
      <c r="C44" s="281"/>
      <c r="D44" s="64">
        <v>14</v>
      </c>
      <c r="E44" s="36"/>
      <c r="F44" s="36"/>
      <c r="G44" s="37"/>
      <c r="H44" s="36">
        <v>1</v>
      </c>
      <c r="I44" s="35">
        <v>17.5</v>
      </c>
      <c r="J44" s="60">
        <f t="shared" si="12"/>
        <v>14</v>
      </c>
      <c r="K44" s="120">
        <f t="shared" si="10"/>
        <v>245</v>
      </c>
    </row>
    <row r="45" spans="1:13" ht="15.75">
      <c r="A45" s="249" t="s">
        <v>142</v>
      </c>
      <c r="B45" s="250"/>
      <c r="C45" s="251"/>
      <c r="D45" s="64">
        <v>44</v>
      </c>
      <c r="E45" s="36"/>
      <c r="F45" s="36"/>
      <c r="G45" s="37"/>
      <c r="H45" s="36">
        <v>1</v>
      </c>
      <c r="I45" s="35">
        <v>17.5</v>
      </c>
      <c r="J45" s="60">
        <f t="shared" si="12"/>
        <v>44</v>
      </c>
      <c r="K45" s="120">
        <f t="shared" si="10"/>
        <v>770</v>
      </c>
    </row>
    <row r="46" spans="1:13" ht="15.75">
      <c r="A46" s="282" t="s">
        <v>64</v>
      </c>
      <c r="B46" s="282"/>
      <c r="C46" s="282"/>
      <c r="D46" s="64">
        <v>44</v>
      </c>
      <c r="E46" s="36"/>
      <c r="F46" s="36"/>
      <c r="G46" s="37"/>
      <c r="H46" s="36">
        <v>1</v>
      </c>
      <c r="I46" s="35">
        <v>17.5</v>
      </c>
      <c r="J46" s="60">
        <f t="shared" si="12"/>
        <v>44</v>
      </c>
      <c r="K46" s="119">
        <f t="shared" si="10"/>
        <v>770</v>
      </c>
    </row>
    <row r="47" spans="1:13" ht="15.75">
      <c r="A47" s="142" t="s">
        <v>144</v>
      </c>
      <c r="B47" s="142"/>
      <c r="C47" s="142"/>
      <c r="D47" s="64">
        <v>0</v>
      </c>
      <c r="E47" s="36"/>
      <c r="F47" s="36"/>
      <c r="G47" s="37"/>
      <c r="H47" s="36">
        <v>1</v>
      </c>
      <c r="I47" s="35">
        <v>17.5</v>
      </c>
      <c r="J47" s="60">
        <f t="shared" si="12"/>
        <v>0</v>
      </c>
      <c r="K47" s="119">
        <f t="shared" si="10"/>
        <v>0</v>
      </c>
    </row>
    <row r="48" spans="1:13" ht="15.75">
      <c r="A48" s="283" t="s">
        <v>103</v>
      </c>
      <c r="B48" s="283"/>
      <c r="C48" s="283"/>
      <c r="D48" s="20">
        <v>0</v>
      </c>
      <c r="E48" s="20"/>
      <c r="F48" s="20"/>
      <c r="G48" s="85"/>
      <c r="H48" s="20"/>
      <c r="I48" s="86">
        <v>17.5</v>
      </c>
      <c r="J48" s="87"/>
      <c r="K48" s="121"/>
    </row>
    <row r="49" spans="1:14" ht="15.75">
      <c r="A49" s="281" t="s">
        <v>88</v>
      </c>
      <c r="B49" s="281"/>
      <c r="C49" s="281"/>
      <c r="D49" s="64">
        <v>4.75</v>
      </c>
      <c r="E49" s="36"/>
      <c r="F49" s="36">
        <v>8</v>
      </c>
      <c r="G49" s="37"/>
      <c r="H49" s="36"/>
      <c r="I49" s="35">
        <v>17.5</v>
      </c>
      <c r="J49" s="60">
        <f t="shared" ref="J49:J50" si="13">D49*F49</f>
        <v>38</v>
      </c>
      <c r="K49" s="120">
        <f t="shared" ref="K49:K50" si="14">J49*I49</f>
        <v>665</v>
      </c>
      <c r="M49">
        <v>8</v>
      </c>
      <c r="N49" t="s">
        <v>163</v>
      </c>
    </row>
    <row r="50" spans="1:14" ht="15.75">
      <c r="A50" s="281" t="s">
        <v>141</v>
      </c>
      <c r="B50" s="281"/>
      <c r="C50" s="281"/>
      <c r="D50" s="64">
        <v>26</v>
      </c>
      <c r="E50" s="36"/>
      <c r="F50" s="36">
        <v>1</v>
      </c>
      <c r="G50" s="37"/>
      <c r="H50" s="36"/>
      <c r="I50" s="35">
        <v>17.5</v>
      </c>
      <c r="J50" s="60">
        <f t="shared" si="13"/>
        <v>26</v>
      </c>
      <c r="K50" s="119">
        <f t="shared" si="14"/>
        <v>455</v>
      </c>
      <c r="L50">
        <v>26</v>
      </c>
    </row>
    <row r="51" spans="1:14">
      <c r="L51">
        <f>SUM(L13:L50)</f>
        <v>281</v>
      </c>
      <c r="M51">
        <f>SUM(M1:M50)</f>
        <v>174</v>
      </c>
    </row>
    <row r="52" spans="1:14">
      <c r="L52">
        <f>L51*17.5</f>
        <v>4917.5</v>
      </c>
      <c r="M52">
        <f>M51*17.5</f>
        <v>3045</v>
      </c>
    </row>
  </sheetData>
  <mergeCells count="44">
    <mergeCell ref="A49:C49"/>
    <mergeCell ref="A50:C50"/>
    <mergeCell ref="A42:C42"/>
    <mergeCell ref="A43:C43"/>
    <mergeCell ref="A44:C44"/>
    <mergeCell ref="A45:C45"/>
    <mergeCell ref="A46:C46"/>
    <mergeCell ref="A48:C48"/>
    <mergeCell ref="A41:C41"/>
    <mergeCell ref="A26:C26"/>
    <mergeCell ref="A27:C27"/>
    <mergeCell ref="A28:C28"/>
    <mergeCell ref="A29:C29"/>
    <mergeCell ref="A34:C34"/>
    <mergeCell ref="A35:C35"/>
    <mergeCell ref="A36:C36"/>
    <mergeCell ref="A37:C37"/>
    <mergeCell ref="A38:C38"/>
    <mergeCell ref="A39:C39"/>
    <mergeCell ref="A40:C40"/>
    <mergeCell ref="A25:C25"/>
    <mergeCell ref="A13:C13"/>
    <mergeCell ref="A14:C14"/>
    <mergeCell ref="A15:C15"/>
    <mergeCell ref="A16:C16"/>
    <mergeCell ref="A17:C17"/>
    <mergeCell ref="A18:C18"/>
    <mergeCell ref="A20:C20"/>
    <mergeCell ref="A21:C21"/>
    <mergeCell ref="A22:C22"/>
    <mergeCell ref="A23:C23"/>
    <mergeCell ref="A24:C24"/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D13" sqref="D13"/>
    </sheetView>
  </sheetViews>
  <sheetFormatPr defaultRowHeight="15"/>
  <cols>
    <col min="2" max="2" width="55.28515625" customWidth="1"/>
    <col min="3" max="4" width="13" customWidth="1"/>
    <col min="5" max="9" width="12.140625" customWidth="1"/>
  </cols>
  <sheetData>
    <row r="1" spans="1:9" ht="23.25" customHeight="1">
      <c r="A1" s="81"/>
      <c r="B1" s="81"/>
      <c r="C1" s="81" t="s">
        <v>165</v>
      </c>
      <c r="D1" s="81" t="s">
        <v>166</v>
      </c>
      <c r="E1" s="81" t="s">
        <v>137</v>
      </c>
      <c r="F1" s="81" t="s">
        <v>138</v>
      </c>
      <c r="G1" s="150" t="s">
        <v>139</v>
      </c>
      <c r="H1" s="150"/>
      <c r="I1" s="151"/>
    </row>
    <row r="2" spans="1:9" ht="23.25" customHeight="1">
      <c r="A2" s="98" t="s">
        <v>113</v>
      </c>
      <c r="B2" s="98" t="s">
        <v>164</v>
      </c>
      <c r="C2" s="98"/>
      <c r="D2" s="98"/>
      <c r="E2" s="99">
        <v>55303.11</v>
      </c>
      <c r="F2" s="100">
        <v>1286.48</v>
      </c>
      <c r="G2" s="81">
        <v>665.6</v>
      </c>
      <c r="H2" s="81" t="e">
        <f>#REF!</f>
        <v>#REF!</v>
      </c>
      <c r="I2" s="29"/>
    </row>
    <row r="3" spans="1:9" ht="23.25" customHeight="1">
      <c r="A3" s="98"/>
      <c r="B3" s="98"/>
      <c r="C3" s="98"/>
      <c r="D3" s="98"/>
      <c r="E3" s="99"/>
      <c r="F3" s="100"/>
      <c r="G3" s="92"/>
      <c r="H3" s="81"/>
      <c r="I3" s="29"/>
    </row>
    <row r="4" spans="1:9" ht="23.25" customHeight="1">
      <c r="A4" s="98"/>
      <c r="B4" s="98"/>
      <c r="C4" s="98"/>
      <c r="D4" s="98"/>
      <c r="E4" s="99"/>
      <c r="F4" s="100"/>
      <c r="G4" s="29"/>
      <c r="H4" s="81" t="e">
        <f>#REF!</f>
        <v>#REF!</v>
      </c>
      <c r="I4" s="81"/>
    </row>
    <row r="5" spans="1:9" ht="23.25" customHeight="1">
      <c r="A5" s="98" t="s">
        <v>115</v>
      </c>
      <c r="B5" s="98" t="s">
        <v>116</v>
      </c>
      <c r="C5" s="98"/>
      <c r="D5" s="98"/>
      <c r="E5" s="101">
        <v>4599.3500000000004</v>
      </c>
      <c r="F5" s="30"/>
      <c r="G5" s="29"/>
      <c r="H5" s="81">
        <v>0.15</v>
      </c>
      <c r="I5" s="81">
        <f>E5+H5</f>
        <v>4599.5</v>
      </c>
    </row>
    <row r="6" spans="1:9" ht="23.25" customHeight="1">
      <c r="A6" s="98" t="s">
        <v>117</v>
      </c>
      <c r="B6" s="98" t="s">
        <v>118</v>
      </c>
      <c r="C6" s="98"/>
      <c r="D6" s="98"/>
      <c r="E6" s="101">
        <v>3179.59</v>
      </c>
      <c r="F6" s="30"/>
      <c r="G6" s="29"/>
      <c r="H6" s="81">
        <v>6.97</v>
      </c>
      <c r="I6" s="81">
        <f t="shared" ref="I6:I15" si="0">E6+H6</f>
        <v>3186.56</v>
      </c>
    </row>
    <row r="7" spans="1:9" ht="23.25" customHeight="1">
      <c r="A7" s="98" t="s">
        <v>119</v>
      </c>
      <c r="B7" s="98" t="s">
        <v>120</v>
      </c>
      <c r="C7" s="98"/>
      <c r="D7" s="98"/>
      <c r="E7" s="101">
        <v>2793.94</v>
      </c>
      <c r="F7" s="30"/>
      <c r="G7" s="29"/>
      <c r="H7" s="81">
        <f>772.63+1195.91</f>
        <v>1968.54</v>
      </c>
      <c r="I7" s="81">
        <f t="shared" si="0"/>
        <v>4762.4799999999996</v>
      </c>
    </row>
    <row r="8" spans="1:9" ht="23.25" customHeight="1">
      <c r="A8" s="98" t="s">
        <v>121</v>
      </c>
      <c r="B8" s="98" t="s">
        <v>122</v>
      </c>
      <c r="C8" s="98"/>
      <c r="D8" s="98"/>
      <c r="E8" s="101"/>
      <c r="F8" s="30"/>
      <c r="G8" s="29"/>
      <c r="H8" s="81"/>
      <c r="I8" s="81">
        <f t="shared" si="0"/>
        <v>0</v>
      </c>
    </row>
    <row r="9" spans="1:9" ht="23.25" customHeight="1">
      <c r="A9" s="98" t="s">
        <v>123</v>
      </c>
      <c r="B9" s="98" t="s">
        <v>124</v>
      </c>
      <c r="C9" s="98"/>
      <c r="D9" s="98"/>
      <c r="E9" s="101">
        <v>1088.4100000000001</v>
      </c>
      <c r="F9" s="30"/>
      <c r="G9" s="29"/>
      <c r="H9" s="81">
        <v>1031.5</v>
      </c>
      <c r="I9" s="81">
        <f t="shared" si="0"/>
        <v>2119.91</v>
      </c>
    </row>
    <row r="10" spans="1:9" ht="23.25" customHeight="1">
      <c r="A10" s="98" t="s">
        <v>125</v>
      </c>
      <c r="B10" s="98" t="s">
        <v>126</v>
      </c>
      <c r="C10" s="98"/>
      <c r="D10" s="98"/>
      <c r="E10" s="101">
        <v>14952.85</v>
      </c>
      <c r="F10" s="30"/>
      <c r="G10" s="29"/>
      <c r="H10" s="81"/>
      <c r="I10" s="81">
        <f t="shared" si="0"/>
        <v>14952.85</v>
      </c>
    </row>
    <row r="11" spans="1:9" ht="23.25" customHeight="1">
      <c r="A11" s="98" t="s">
        <v>127</v>
      </c>
      <c r="B11" s="98" t="s">
        <v>128</v>
      </c>
      <c r="C11" s="98"/>
      <c r="D11" s="98"/>
      <c r="E11" s="102">
        <f>SUM(E2:E10)</f>
        <v>81917.250000000015</v>
      </c>
      <c r="F11" s="30"/>
      <c r="G11" s="29"/>
      <c r="H11" s="81"/>
      <c r="I11" s="81">
        <f t="shared" si="0"/>
        <v>81917.250000000015</v>
      </c>
    </row>
    <row r="12" spans="1:9" ht="23.25" customHeight="1">
      <c r="A12" s="103" t="s">
        <v>129</v>
      </c>
      <c r="B12" s="103" t="s">
        <v>130</v>
      </c>
      <c r="C12" s="103"/>
      <c r="D12" s="103"/>
      <c r="E12" s="104">
        <v>670.87</v>
      </c>
      <c r="F12" s="30"/>
      <c r="G12" s="29"/>
      <c r="H12" s="81">
        <v>979.52</v>
      </c>
      <c r="I12" s="81">
        <f t="shared" si="0"/>
        <v>1650.3899999999999</v>
      </c>
    </row>
    <row r="13" spans="1:9" ht="23.25" customHeight="1">
      <c r="A13" s="103" t="s">
        <v>131</v>
      </c>
      <c r="B13" s="103" t="s">
        <v>132</v>
      </c>
      <c r="C13" s="103"/>
      <c r="D13" s="103"/>
      <c r="E13" s="104">
        <f>E12+E11</f>
        <v>82588.12000000001</v>
      </c>
      <c r="F13" s="30"/>
      <c r="G13" s="81"/>
      <c r="H13" s="81"/>
      <c r="I13" s="81">
        <f t="shared" si="0"/>
        <v>82588.12000000001</v>
      </c>
    </row>
    <row r="14" spans="1:9" ht="23.25" customHeight="1">
      <c r="A14" s="103" t="s">
        <v>133</v>
      </c>
      <c r="B14" s="105" t="s">
        <v>134</v>
      </c>
      <c r="C14" s="105"/>
      <c r="D14" s="105"/>
      <c r="E14" s="106"/>
      <c r="F14" s="30"/>
      <c r="G14" s="81"/>
      <c r="H14" s="81"/>
      <c r="I14" s="81">
        <f t="shared" si="0"/>
        <v>0</v>
      </c>
    </row>
    <row r="15" spans="1:9" ht="23.25" customHeight="1">
      <c r="A15" s="98" t="s">
        <v>135</v>
      </c>
      <c r="B15" s="107" t="s">
        <v>136</v>
      </c>
      <c r="C15" s="107"/>
      <c r="D15" s="107"/>
      <c r="E15" s="108">
        <f>E14+E13</f>
        <v>82588.12000000001</v>
      </c>
      <c r="F15" s="30"/>
      <c r="G15" s="81"/>
      <c r="H15" s="81"/>
      <c r="I15" s="81">
        <f t="shared" si="0"/>
        <v>82588.12000000001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82"/>
  <sheetViews>
    <sheetView workbookViewId="0">
      <selection activeCell="W6" sqref="W6"/>
    </sheetView>
  </sheetViews>
  <sheetFormatPr defaultRowHeight="15.75"/>
  <cols>
    <col min="1" max="1" width="5.5703125" style="7" customWidth="1"/>
    <col min="2" max="3" width="9.140625" style="7"/>
    <col min="4" max="4" width="44.28515625" style="7" customWidth="1"/>
    <col min="5" max="5" width="8" style="7" customWidth="1"/>
    <col min="6" max="8" width="4" style="7" customWidth="1"/>
    <col min="9" max="11" width="2" style="7" customWidth="1"/>
    <col min="12" max="12" width="14.140625" style="7" customWidth="1"/>
    <col min="13" max="13" width="9" style="7" customWidth="1"/>
    <col min="14" max="14" width="7.7109375" style="7" customWidth="1"/>
    <col min="15" max="15" width="14.140625" style="7" customWidth="1"/>
    <col min="16" max="16" width="16.42578125" style="7" customWidth="1"/>
    <col min="17" max="17" width="15.140625" style="7" customWidth="1"/>
    <col min="18" max="18" width="17.7109375" style="7" customWidth="1"/>
    <col min="19" max="19" width="14" style="7" customWidth="1"/>
    <col min="20" max="20" width="2" style="7" customWidth="1"/>
    <col min="21" max="22" width="9.140625" style="7"/>
    <col min="23" max="23" width="13.42578125" style="7" customWidth="1"/>
    <col min="24" max="24" width="17.28515625" style="7" customWidth="1"/>
    <col min="25" max="25" width="9.42578125" style="19" customWidth="1"/>
    <col min="26" max="26" width="10.7109375" style="7" customWidth="1"/>
    <col min="28" max="28" width="10.7109375" style="7" bestFit="1" customWidth="1"/>
    <col min="29" max="29" width="9.42578125" style="7" bestFit="1" customWidth="1"/>
    <col min="30" max="30" width="10" style="7" bestFit="1" customWidth="1"/>
    <col min="31" max="16384" width="9.140625" style="7"/>
  </cols>
  <sheetData>
    <row r="1" spans="1:27" s="28" customFormat="1">
      <c r="A1" s="259" t="s">
        <v>0</v>
      </c>
      <c r="B1" s="259"/>
      <c r="C1" s="259"/>
      <c r="D1" s="260"/>
      <c r="E1" s="156" t="s">
        <v>26</v>
      </c>
      <c r="F1" s="156" t="s">
        <v>27</v>
      </c>
      <c r="G1" s="156" t="s">
        <v>31</v>
      </c>
      <c r="H1" s="156" t="s">
        <v>33</v>
      </c>
      <c r="I1" s="156" t="s">
        <v>34</v>
      </c>
      <c r="J1" s="27">
        <v>1819</v>
      </c>
      <c r="K1" s="27">
        <v>1920</v>
      </c>
      <c r="L1" s="27">
        <v>2021</v>
      </c>
      <c r="M1" s="27">
        <v>2021</v>
      </c>
      <c r="N1" s="27"/>
      <c r="O1" s="27"/>
      <c r="P1" s="27">
        <v>1819</v>
      </c>
      <c r="Q1" s="27">
        <v>1920</v>
      </c>
      <c r="R1" s="27">
        <v>2021</v>
      </c>
      <c r="S1" s="27"/>
      <c r="T1" s="27" t="s">
        <v>43</v>
      </c>
      <c r="Y1" s="157"/>
      <c r="AA1" s="29"/>
    </row>
    <row r="2" spans="1:27" s="28" customFormat="1">
      <c r="A2" s="30">
        <v>1</v>
      </c>
      <c r="B2" s="261" t="s">
        <v>25</v>
      </c>
      <c r="C2" s="261"/>
      <c r="D2" s="261"/>
      <c r="E2" s="31">
        <v>20</v>
      </c>
      <c r="F2" s="32"/>
      <c r="G2" s="31"/>
      <c r="H2" s="33"/>
      <c r="I2" s="31">
        <v>1</v>
      </c>
      <c r="J2" s="34">
        <v>60</v>
      </c>
      <c r="K2" s="34">
        <v>40</v>
      </c>
      <c r="L2" s="34">
        <f>E2*I2</f>
        <v>20</v>
      </c>
      <c r="M2" s="34">
        <v>0</v>
      </c>
      <c r="N2" s="34">
        <f>L2-K2</f>
        <v>-20</v>
      </c>
      <c r="O2" s="34">
        <v>17.5</v>
      </c>
      <c r="P2" s="158">
        <v>1050</v>
      </c>
      <c r="Q2" s="159">
        <f t="shared" ref="Q2:Q8" si="0">K2*O2</f>
        <v>700</v>
      </c>
      <c r="R2" s="159">
        <f>L2*O2</f>
        <v>350</v>
      </c>
      <c r="S2" s="159">
        <f>M2*O2</f>
        <v>0</v>
      </c>
      <c r="T2" s="159">
        <f>R2-Q2</f>
        <v>-350</v>
      </c>
      <c r="Y2" s="157"/>
      <c r="AA2" s="29"/>
    </row>
    <row r="3" spans="1:27" s="28" customFormat="1">
      <c r="A3" s="30">
        <v>2</v>
      </c>
      <c r="B3" s="261" t="s">
        <v>12</v>
      </c>
      <c r="C3" s="261"/>
      <c r="D3" s="261"/>
      <c r="E3" s="31">
        <v>30</v>
      </c>
      <c r="F3" s="32"/>
      <c r="G3" s="31"/>
      <c r="H3" s="33"/>
      <c r="I3" s="31">
        <v>1</v>
      </c>
      <c r="J3" s="34">
        <v>60</v>
      </c>
      <c r="K3" s="34">
        <v>60</v>
      </c>
      <c r="L3" s="34">
        <f>E3*I3</f>
        <v>30</v>
      </c>
      <c r="M3" s="34">
        <f t="shared" ref="M3:M45" si="1">L3</f>
        <v>30</v>
      </c>
      <c r="N3" s="34">
        <f t="shared" ref="N3:N13" si="2">L3-K3</f>
        <v>-30</v>
      </c>
      <c r="O3" s="34">
        <v>17.5</v>
      </c>
      <c r="P3" s="158">
        <v>1050</v>
      </c>
      <c r="Q3" s="159">
        <f t="shared" si="0"/>
        <v>1050</v>
      </c>
      <c r="R3" s="159">
        <f t="shared" ref="R3:R13" si="3">L3*O3</f>
        <v>525</v>
      </c>
      <c r="S3" s="159">
        <f t="shared" ref="S3:S45" si="4">M3*O3</f>
        <v>525</v>
      </c>
      <c r="T3" s="159">
        <f t="shared" ref="T3:T13" si="5">R3-Q3</f>
        <v>-525</v>
      </c>
      <c r="Y3" s="157"/>
      <c r="AA3" s="29"/>
    </row>
    <row r="4" spans="1:27" s="28" customFormat="1">
      <c r="A4" s="30"/>
      <c r="B4" s="261" t="s">
        <v>70</v>
      </c>
      <c r="C4" s="261"/>
      <c r="D4" s="261"/>
      <c r="E4" s="31">
        <v>10</v>
      </c>
      <c r="F4" s="32"/>
      <c r="G4" s="31"/>
      <c r="H4" s="33"/>
      <c r="I4" s="31">
        <v>1</v>
      </c>
      <c r="J4" s="34">
        <v>60</v>
      </c>
      <c r="K4" s="34">
        <v>60</v>
      </c>
      <c r="L4" s="34">
        <f>E4*I4</f>
        <v>10</v>
      </c>
      <c r="M4" s="34">
        <f t="shared" si="1"/>
        <v>10</v>
      </c>
      <c r="N4" s="34">
        <f t="shared" ref="N4" si="6">L4-K4</f>
        <v>-50</v>
      </c>
      <c r="O4" s="34">
        <v>17.5</v>
      </c>
      <c r="P4" s="158">
        <v>1050</v>
      </c>
      <c r="Q4" s="159">
        <f t="shared" ref="Q4" si="7">K4*O4</f>
        <v>1050</v>
      </c>
      <c r="R4" s="159">
        <f t="shared" ref="R4" si="8">L4*O4</f>
        <v>175</v>
      </c>
      <c r="S4" s="159">
        <f t="shared" ref="S4" si="9">M4*O4</f>
        <v>175</v>
      </c>
      <c r="T4" s="159">
        <f t="shared" ref="T4" si="10">R4-Q4</f>
        <v>-875</v>
      </c>
      <c r="Y4" s="157"/>
      <c r="AA4" s="29"/>
    </row>
    <row r="5" spans="1:27" s="28" customFormat="1">
      <c r="A5" s="30">
        <v>3</v>
      </c>
      <c r="B5" s="277" t="s">
        <v>13</v>
      </c>
      <c r="C5" s="278"/>
      <c r="D5" s="279"/>
      <c r="E5" s="33">
        <v>15</v>
      </c>
      <c r="F5" s="31">
        <v>0</v>
      </c>
      <c r="G5" s="31"/>
      <c r="H5" s="33"/>
      <c r="I5" s="33"/>
      <c r="J5" s="35">
        <v>20</v>
      </c>
      <c r="K5" s="34">
        <v>0</v>
      </c>
      <c r="L5" s="34">
        <f>E5*F5</f>
        <v>0</v>
      </c>
      <c r="M5" s="34">
        <f t="shared" si="1"/>
        <v>0</v>
      </c>
      <c r="N5" s="34">
        <f t="shared" si="2"/>
        <v>0</v>
      </c>
      <c r="O5" s="35">
        <v>35</v>
      </c>
      <c r="P5" s="160">
        <v>750</v>
      </c>
      <c r="Q5" s="159">
        <f t="shared" si="0"/>
        <v>0</v>
      </c>
      <c r="R5" s="159">
        <f t="shared" si="3"/>
        <v>0</v>
      </c>
      <c r="S5" s="159">
        <f t="shared" si="4"/>
        <v>0</v>
      </c>
      <c r="T5" s="159">
        <f t="shared" si="5"/>
        <v>0</v>
      </c>
      <c r="Y5" s="157"/>
      <c r="AA5" s="29"/>
    </row>
    <row r="6" spans="1:27" s="28" customFormat="1">
      <c r="A6" s="30">
        <v>4</v>
      </c>
      <c r="B6" s="254" t="s">
        <v>14</v>
      </c>
      <c r="C6" s="254"/>
      <c r="D6" s="254"/>
      <c r="E6" s="36">
        <v>16</v>
      </c>
      <c r="F6" s="36">
        <v>0</v>
      </c>
      <c r="G6" s="36"/>
      <c r="H6" s="37"/>
      <c r="I6" s="36"/>
      <c r="J6" s="35">
        <v>15</v>
      </c>
      <c r="K6" s="34">
        <v>10</v>
      </c>
      <c r="L6" s="34">
        <f>E6*F6</f>
        <v>0</v>
      </c>
      <c r="M6" s="34">
        <f t="shared" si="1"/>
        <v>0</v>
      </c>
      <c r="N6" s="34">
        <f t="shared" si="2"/>
        <v>-10</v>
      </c>
      <c r="O6" s="35">
        <v>35</v>
      </c>
      <c r="P6" s="160">
        <v>525</v>
      </c>
      <c r="Q6" s="159">
        <f t="shared" si="0"/>
        <v>350</v>
      </c>
      <c r="R6" s="159">
        <f t="shared" si="3"/>
        <v>0</v>
      </c>
      <c r="S6" s="159">
        <f t="shared" si="4"/>
        <v>0</v>
      </c>
      <c r="T6" s="159">
        <f t="shared" si="5"/>
        <v>-350</v>
      </c>
      <c r="Y6" s="157"/>
      <c r="AA6" s="29"/>
    </row>
    <row r="7" spans="1:27" s="28" customFormat="1">
      <c r="A7" s="30">
        <v>5</v>
      </c>
      <c r="B7" s="254" t="s">
        <v>15</v>
      </c>
      <c r="C7" s="254"/>
      <c r="D7" s="254"/>
      <c r="E7" s="36">
        <v>20</v>
      </c>
      <c r="F7" s="32"/>
      <c r="G7" s="36"/>
      <c r="H7" s="37"/>
      <c r="I7" s="36">
        <v>0</v>
      </c>
      <c r="J7" s="35">
        <v>30</v>
      </c>
      <c r="K7" s="34">
        <v>18</v>
      </c>
      <c r="L7" s="34">
        <f t="shared" ref="L7:L9" si="11">E7*I7</f>
        <v>0</v>
      </c>
      <c r="M7" s="34">
        <f t="shared" si="1"/>
        <v>0</v>
      </c>
      <c r="N7" s="34">
        <f t="shared" si="2"/>
        <v>-18</v>
      </c>
      <c r="O7" s="35">
        <v>35</v>
      </c>
      <c r="P7" s="160">
        <v>1050</v>
      </c>
      <c r="Q7" s="159">
        <f t="shared" si="0"/>
        <v>630</v>
      </c>
      <c r="R7" s="159">
        <f t="shared" si="3"/>
        <v>0</v>
      </c>
      <c r="S7" s="159">
        <f t="shared" si="4"/>
        <v>0</v>
      </c>
      <c r="T7" s="159">
        <f t="shared" si="5"/>
        <v>-630</v>
      </c>
      <c r="Y7" s="157"/>
      <c r="AA7" s="29"/>
    </row>
    <row r="8" spans="1:27" s="28" customFormat="1">
      <c r="A8" s="30">
        <v>6</v>
      </c>
      <c r="B8" s="254" t="s">
        <v>16</v>
      </c>
      <c r="C8" s="254"/>
      <c r="D8" s="254"/>
      <c r="E8" s="36">
        <v>60</v>
      </c>
      <c r="F8" s="32"/>
      <c r="G8" s="36"/>
      <c r="H8" s="37"/>
      <c r="I8" s="36">
        <v>1</v>
      </c>
      <c r="J8" s="35">
        <v>30</v>
      </c>
      <c r="K8" s="34">
        <v>0</v>
      </c>
      <c r="L8" s="34">
        <f t="shared" si="11"/>
        <v>60</v>
      </c>
      <c r="M8" s="34">
        <f t="shared" si="1"/>
        <v>60</v>
      </c>
      <c r="N8" s="34">
        <f t="shared" si="2"/>
        <v>60</v>
      </c>
      <c r="O8" s="35">
        <v>35</v>
      </c>
      <c r="P8" s="160">
        <v>1050</v>
      </c>
      <c r="Q8" s="159">
        <f t="shared" si="0"/>
        <v>0</v>
      </c>
      <c r="R8" s="159">
        <f t="shared" si="3"/>
        <v>2100</v>
      </c>
      <c r="S8" s="159">
        <f t="shared" si="4"/>
        <v>2100</v>
      </c>
      <c r="T8" s="159">
        <f t="shared" si="5"/>
        <v>2100</v>
      </c>
      <c r="Y8" s="157"/>
      <c r="AA8" s="29"/>
    </row>
    <row r="9" spans="1:27" s="28" customFormat="1">
      <c r="A9" s="30">
        <v>7</v>
      </c>
      <c r="B9" s="254" t="s">
        <v>67</v>
      </c>
      <c r="C9" s="254"/>
      <c r="D9" s="254"/>
      <c r="E9" s="36">
        <v>60</v>
      </c>
      <c r="F9" s="32"/>
      <c r="G9" s="36"/>
      <c r="H9" s="37"/>
      <c r="I9" s="36">
        <v>1</v>
      </c>
      <c r="J9" s="35"/>
      <c r="K9" s="34">
        <v>0</v>
      </c>
      <c r="L9" s="34">
        <f t="shared" si="11"/>
        <v>60</v>
      </c>
      <c r="M9" s="34">
        <v>115</v>
      </c>
      <c r="N9" s="34"/>
      <c r="O9" s="35">
        <v>35</v>
      </c>
      <c r="P9" s="160"/>
      <c r="Q9" s="159"/>
      <c r="R9" s="159"/>
      <c r="S9" s="159">
        <f t="shared" si="4"/>
        <v>4025</v>
      </c>
      <c r="T9" s="159"/>
      <c r="Y9" s="157"/>
      <c r="AA9" s="29"/>
    </row>
    <row r="10" spans="1:27" s="28" customFormat="1">
      <c r="A10" s="30">
        <v>7</v>
      </c>
      <c r="B10" s="254" t="s">
        <v>39</v>
      </c>
      <c r="C10" s="254"/>
      <c r="D10" s="254"/>
      <c r="E10" s="36">
        <v>25</v>
      </c>
      <c r="F10" s="36">
        <v>16</v>
      </c>
      <c r="G10" s="36"/>
      <c r="H10" s="37"/>
      <c r="I10" s="36"/>
      <c r="J10" s="35">
        <v>300</v>
      </c>
      <c r="K10" s="34">
        <v>320</v>
      </c>
      <c r="L10" s="34">
        <f t="shared" ref="L10:L11" si="12">E10*F10</f>
        <v>400</v>
      </c>
      <c r="M10" s="34">
        <f t="shared" si="1"/>
        <v>400</v>
      </c>
      <c r="N10" s="34">
        <f t="shared" si="2"/>
        <v>80</v>
      </c>
      <c r="O10" s="35">
        <v>17.5</v>
      </c>
      <c r="P10" s="160">
        <v>5250</v>
      </c>
      <c r="Q10" s="159">
        <f>K10*O10</f>
        <v>5600</v>
      </c>
      <c r="R10" s="159">
        <f t="shared" si="3"/>
        <v>7000</v>
      </c>
      <c r="S10" s="159">
        <f t="shared" si="4"/>
        <v>7000</v>
      </c>
      <c r="T10" s="159">
        <f t="shared" si="5"/>
        <v>1400</v>
      </c>
      <c r="Y10" s="157"/>
      <c r="AA10" s="29"/>
    </row>
    <row r="11" spans="1:27" s="28" customFormat="1">
      <c r="A11" s="30">
        <v>8</v>
      </c>
      <c r="B11" s="254" t="s">
        <v>38</v>
      </c>
      <c r="C11" s="254"/>
      <c r="D11" s="254"/>
      <c r="E11" s="36">
        <v>10</v>
      </c>
      <c r="F11" s="36">
        <v>16</v>
      </c>
      <c r="G11" s="36"/>
      <c r="H11" s="37"/>
      <c r="I11" s="36"/>
      <c r="J11" s="35">
        <v>150</v>
      </c>
      <c r="K11" s="34">
        <v>160</v>
      </c>
      <c r="L11" s="34">
        <f t="shared" si="12"/>
        <v>160</v>
      </c>
      <c r="M11" s="34">
        <f t="shared" si="1"/>
        <v>160</v>
      </c>
      <c r="N11" s="34">
        <f t="shared" si="2"/>
        <v>0</v>
      </c>
      <c r="O11" s="35">
        <v>17.5</v>
      </c>
      <c r="P11" s="160">
        <v>2625</v>
      </c>
      <c r="Q11" s="159">
        <f>K11*O11</f>
        <v>2800</v>
      </c>
      <c r="R11" s="159">
        <f t="shared" si="3"/>
        <v>2800</v>
      </c>
      <c r="S11" s="159">
        <f t="shared" si="4"/>
        <v>2800</v>
      </c>
      <c r="T11" s="159">
        <f t="shared" si="5"/>
        <v>0</v>
      </c>
      <c r="Y11" s="157"/>
      <c r="AA11" s="29"/>
    </row>
    <row r="12" spans="1:27" s="28" customFormat="1">
      <c r="A12" s="30">
        <v>9</v>
      </c>
      <c r="B12" s="277" t="s">
        <v>17</v>
      </c>
      <c r="C12" s="278"/>
      <c r="D12" s="279"/>
      <c r="E12" s="33">
        <v>240</v>
      </c>
      <c r="F12" s="32"/>
      <c r="G12" s="31">
        <v>1</v>
      </c>
      <c r="H12" s="33"/>
      <c r="I12" s="33"/>
      <c r="J12" s="35">
        <v>230</v>
      </c>
      <c r="K12" s="34">
        <v>230</v>
      </c>
      <c r="L12" s="34">
        <f>E12*G12</f>
        <v>240</v>
      </c>
      <c r="M12" s="34">
        <f t="shared" si="1"/>
        <v>240</v>
      </c>
      <c r="N12" s="34">
        <f t="shared" si="2"/>
        <v>10</v>
      </c>
      <c r="O12" s="35">
        <v>17.5</v>
      </c>
      <c r="P12" s="160">
        <v>4025</v>
      </c>
      <c r="Q12" s="159">
        <f>K12*O12</f>
        <v>4025</v>
      </c>
      <c r="R12" s="159">
        <f t="shared" si="3"/>
        <v>4200</v>
      </c>
      <c r="S12" s="159">
        <f t="shared" si="4"/>
        <v>4200</v>
      </c>
      <c r="T12" s="159">
        <f t="shared" si="5"/>
        <v>175</v>
      </c>
      <c r="Y12" s="157"/>
      <c r="AA12" s="29"/>
    </row>
    <row r="13" spans="1:27" s="28" customFormat="1">
      <c r="A13" s="30">
        <v>10</v>
      </c>
      <c r="B13" s="277" t="s">
        <v>18</v>
      </c>
      <c r="C13" s="278"/>
      <c r="D13" s="279"/>
      <c r="E13" s="33">
        <v>40</v>
      </c>
      <c r="F13" s="32"/>
      <c r="G13" s="31">
        <v>1</v>
      </c>
      <c r="H13" s="33"/>
      <c r="I13" s="33"/>
      <c r="J13" s="35">
        <v>70</v>
      </c>
      <c r="K13" s="34">
        <v>0</v>
      </c>
      <c r="L13" s="34">
        <f>E13*G13</f>
        <v>40</v>
      </c>
      <c r="M13" s="34">
        <f t="shared" si="1"/>
        <v>40</v>
      </c>
      <c r="N13" s="34">
        <f t="shared" si="2"/>
        <v>40</v>
      </c>
      <c r="O13" s="35">
        <v>17.5</v>
      </c>
      <c r="P13" s="160">
        <v>1225</v>
      </c>
      <c r="Q13" s="159">
        <f>K13*O13</f>
        <v>0</v>
      </c>
      <c r="R13" s="159">
        <f t="shared" si="3"/>
        <v>700</v>
      </c>
      <c r="S13" s="159">
        <f t="shared" si="4"/>
        <v>700</v>
      </c>
      <c r="T13" s="159">
        <f t="shared" si="5"/>
        <v>700</v>
      </c>
      <c r="Y13" s="157"/>
      <c r="AA13" s="29"/>
    </row>
    <row r="14" spans="1:27" s="28" customFormat="1">
      <c r="A14" s="30">
        <v>11</v>
      </c>
      <c r="B14" s="254" t="s">
        <v>69</v>
      </c>
      <c r="C14" s="254"/>
      <c r="D14" s="254"/>
      <c r="E14" s="36"/>
      <c r="F14" s="36"/>
      <c r="G14" s="36"/>
      <c r="H14" s="36"/>
      <c r="I14" s="36"/>
      <c r="J14" s="30"/>
      <c r="K14" s="30"/>
      <c r="L14" s="30"/>
      <c r="M14" s="34">
        <f t="shared" si="1"/>
        <v>0</v>
      </c>
      <c r="N14" s="30"/>
      <c r="O14" s="30"/>
      <c r="P14" s="30"/>
      <c r="Q14" s="30"/>
      <c r="R14" s="30"/>
      <c r="S14" s="159">
        <f t="shared" si="4"/>
        <v>0</v>
      </c>
      <c r="T14" s="30"/>
      <c r="Y14" s="157"/>
      <c r="AA14" s="29"/>
    </row>
    <row r="15" spans="1:27" s="28" customFormat="1">
      <c r="A15" s="30"/>
      <c r="B15" s="277" t="s">
        <v>30</v>
      </c>
      <c r="C15" s="291"/>
      <c r="D15" s="279"/>
      <c r="E15" s="36">
        <v>12</v>
      </c>
      <c r="F15" s="32"/>
      <c r="G15" s="36">
        <v>18</v>
      </c>
      <c r="H15" s="37"/>
      <c r="I15" s="36"/>
      <c r="J15" s="35"/>
      <c r="K15" s="35"/>
      <c r="L15" s="35">
        <f>E15*G15</f>
        <v>216</v>
      </c>
      <c r="M15" s="34">
        <f t="shared" si="1"/>
        <v>216</v>
      </c>
      <c r="N15" s="34"/>
      <c r="O15" s="35"/>
      <c r="P15" s="160"/>
      <c r="Q15" s="159"/>
      <c r="R15" s="159"/>
      <c r="S15" s="159">
        <f t="shared" si="4"/>
        <v>0</v>
      </c>
      <c r="T15" s="159"/>
      <c r="Y15" s="157"/>
      <c r="AA15" s="29"/>
    </row>
    <row r="16" spans="1:27" s="28" customFormat="1">
      <c r="A16" s="30"/>
      <c r="B16" s="277" t="s">
        <v>28</v>
      </c>
      <c r="C16" s="291"/>
      <c r="D16" s="279"/>
      <c r="E16" s="36">
        <v>10</v>
      </c>
      <c r="F16" s="32"/>
      <c r="G16" s="36">
        <v>9</v>
      </c>
      <c r="H16" s="37"/>
      <c r="I16" s="36"/>
      <c r="J16" s="35"/>
      <c r="K16" s="35"/>
      <c r="L16" s="35">
        <f t="shared" ref="L16:L18" si="13">E16*G16</f>
        <v>90</v>
      </c>
      <c r="M16" s="34">
        <f t="shared" si="1"/>
        <v>90</v>
      </c>
      <c r="N16" s="34"/>
      <c r="O16" s="35"/>
      <c r="P16" s="160"/>
      <c r="Q16" s="159"/>
      <c r="R16" s="159"/>
      <c r="S16" s="159">
        <f t="shared" si="4"/>
        <v>0</v>
      </c>
      <c r="T16" s="159"/>
      <c r="Y16" s="157"/>
      <c r="AA16" s="29"/>
    </row>
    <row r="17" spans="1:27" s="28" customFormat="1">
      <c r="A17" s="30"/>
      <c r="B17" s="277" t="s">
        <v>29</v>
      </c>
      <c r="C17" s="291"/>
      <c r="D17" s="279"/>
      <c r="E17" s="36">
        <v>15</v>
      </c>
      <c r="F17" s="32"/>
      <c r="G17" s="36">
        <v>1</v>
      </c>
      <c r="H17" s="37"/>
      <c r="I17" s="36"/>
      <c r="J17" s="35"/>
      <c r="K17" s="35"/>
      <c r="L17" s="35">
        <f t="shared" si="13"/>
        <v>15</v>
      </c>
      <c r="M17" s="34">
        <f t="shared" si="1"/>
        <v>15</v>
      </c>
      <c r="N17" s="34"/>
      <c r="O17" s="35"/>
      <c r="P17" s="160"/>
      <c r="Q17" s="159"/>
      <c r="R17" s="159"/>
      <c r="S17" s="159">
        <f t="shared" si="4"/>
        <v>0</v>
      </c>
      <c r="T17" s="159"/>
      <c r="Y17" s="157"/>
      <c r="AA17" s="29"/>
    </row>
    <row r="18" spans="1:27" s="28" customFormat="1">
      <c r="A18" s="30"/>
      <c r="B18" s="152" t="s">
        <v>57</v>
      </c>
      <c r="C18" s="161"/>
      <c r="D18" s="154"/>
      <c r="E18" s="36">
        <v>10</v>
      </c>
      <c r="F18" s="32"/>
      <c r="G18" s="36">
        <v>10</v>
      </c>
      <c r="H18" s="37"/>
      <c r="I18" s="36"/>
      <c r="J18" s="35"/>
      <c r="K18" s="35"/>
      <c r="L18" s="35">
        <f t="shared" si="13"/>
        <v>100</v>
      </c>
      <c r="M18" s="34">
        <f t="shared" si="1"/>
        <v>100</v>
      </c>
      <c r="N18" s="34"/>
      <c r="O18" s="35"/>
      <c r="P18" s="160"/>
      <c r="Q18" s="159"/>
      <c r="R18" s="159"/>
      <c r="S18" s="159">
        <f t="shared" si="4"/>
        <v>0</v>
      </c>
      <c r="T18" s="159"/>
      <c r="Y18" s="157"/>
      <c r="AA18" s="29"/>
    </row>
    <row r="19" spans="1:27" s="28" customFormat="1">
      <c r="A19" s="30"/>
      <c r="B19" s="277" t="s">
        <v>32</v>
      </c>
      <c r="C19" s="291"/>
      <c r="D19" s="279"/>
      <c r="E19" s="36"/>
      <c r="F19" s="36"/>
      <c r="G19" s="36"/>
      <c r="H19" s="37"/>
      <c r="I19" s="36"/>
      <c r="J19" s="35">
        <v>297</v>
      </c>
      <c r="K19" s="35">
        <v>310</v>
      </c>
      <c r="L19" s="35">
        <f>SUM(L15:L18)</f>
        <v>421</v>
      </c>
      <c r="M19" s="34">
        <f t="shared" si="1"/>
        <v>421</v>
      </c>
      <c r="N19" s="34">
        <f t="shared" ref="N19:N20" si="14">L19-K19</f>
        <v>111</v>
      </c>
      <c r="O19" s="35">
        <v>17.5</v>
      </c>
      <c r="P19" s="160">
        <v>5197.5</v>
      </c>
      <c r="Q19" s="159">
        <f>K19*O19</f>
        <v>5425</v>
      </c>
      <c r="R19" s="159">
        <f t="shared" ref="R19:R20" si="15">L19*O19</f>
        <v>7367.5</v>
      </c>
      <c r="S19" s="159">
        <f t="shared" si="4"/>
        <v>7367.5</v>
      </c>
      <c r="T19" s="159">
        <f t="shared" ref="T19:T20" si="16">R19-Q19</f>
        <v>1942.5</v>
      </c>
      <c r="Y19" s="157"/>
      <c r="AA19" s="29"/>
    </row>
    <row r="20" spans="1:27" s="28" customFormat="1">
      <c r="A20" s="30">
        <v>12</v>
      </c>
      <c r="B20" s="254" t="s">
        <v>41</v>
      </c>
      <c r="C20" s="254"/>
      <c r="D20" s="254"/>
      <c r="E20" s="36">
        <v>4</v>
      </c>
      <c r="F20" s="36"/>
      <c r="G20" s="36"/>
      <c r="H20" s="37">
        <v>8</v>
      </c>
      <c r="I20" s="36"/>
      <c r="J20" s="35">
        <v>32</v>
      </c>
      <c r="K20" s="34">
        <v>32</v>
      </c>
      <c r="L20" s="34">
        <f>E20*H20</f>
        <v>32</v>
      </c>
      <c r="M20" s="34">
        <f t="shared" si="1"/>
        <v>32</v>
      </c>
      <c r="N20" s="34">
        <f t="shared" si="14"/>
        <v>0</v>
      </c>
      <c r="O20" s="35">
        <v>17.5</v>
      </c>
      <c r="P20" s="160">
        <v>560</v>
      </c>
      <c r="Q20" s="159">
        <f>K20*O20</f>
        <v>560</v>
      </c>
      <c r="R20" s="159">
        <f t="shared" si="15"/>
        <v>560</v>
      </c>
      <c r="S20" s="159">
        <f t="shared" si="4"/>
        <v>560</v>
      </c>
      <c r="T20" s="159">
        <f t="shared" si="16"/>
        <v>0</v>
      </c>
      <c r="Y20" s="157"/>
      <c r="AA20" s="29"/>
    </row>
    <row r="21" spans="1:27" s="28" customFormat="1">
      <c r="A21" s="30">
        <v>13</v>
      </c>
      <c r="B21" s="254" t="s">
        <v>40</v>
      </c>
      <c r="C21" s="254"/>
      <c r="D21" s="254"/>
      <c r="E21" s="36"/>
      <c r="F21" s="36"/>
      <c r="G21" s="36"/>
      <c r="H21" s="37"/>
      <c r="I21" s="36"/>
      <c r="K21" s="35"/>
      <c r="L21" s="35"/>
      <c r="M21" s="34">
        <f t="shared" si="1"/>
        <v>0</v>
      </c>
      <c r="N21" s="34"/>
      <c r="O21" s="35"/>
      <c r="P21" s="160"/>
      <c r="Q21" s="159"/>
      <c r="R21" s="159"/>
      <c r="S21" s="159">
        <f t="shared" si="4"/>
        <v>0</v>
      </c>
      <c r="T21" s="159"/>
      <c r="Y21" s="157"/>
      <c r="AA21" s="29"/>
    </row>
    <row r="22" spans="1:27" s="28" customFormat="1">
      <c r="A22" s="30"/>
      <c r="B22" s="277" t="s">
        <v>58</v>
      </c>
      <c r="C22" s="293"/>
      <c r="D22" s="294"/>
      <c r="E22" s="36">
        <v>11</v>
      </c>
      <c r="F22" s="36">
        <v>41</v>
      </c>
      <c r="G22" s="32"/>
      <c r="H22" s="37"/>
      <c r="I22" s="36"/>
      <c r="J22" s="35"/>
      <c r="K22" s="35"/>
      <c r="L22" s="34">
        <f>E22*F22</f>
        <v>451</v>
      </c>
      <c r="M22" s="34">
        <f t="shared" si="1"/>
        <v>451</v>
      </c>
      <c r="N22" s="34"/>
      <c r="O22" s="35"/>
      <c r="P22" s="160"/>
      <c r="Q22" s="159"/>
      <c r="R22" s="159"/>
      <c r="S22" s="159">
        <f t="shared" si="4"/>
        <v>0</v>
      </c>
      <c r="T22" s="159"/>
      <c r="Y22" s="157"/>
      <c r="AA22" s="29"/>
    </row>
    <row r="23" spans="1:27" s="28" customFormat="1">
      <c r="A23" s="30"/>
      <c r="B23" s="277" t="s">
        <v>59</v>
      </c>
      <c r="C23" s="293"/>
      <c r="D23" s="294"/>
      <c r="E23" s="36">
        <v>16</v>
      </c>
      <c r="F23" s="36">
        <v>1</v>
      </c>
      <c r="G23" s="32"/>
      <c r="H23" s="37"/>
      <c r="I23" s="36"/>
      <c r="J23" s="35"/>
      <c r="K23" s="35"/>
      <c r="L23" s="34">
        <f>E23*F23</f>
        <v>16</v>
      </c>
      <c r="M23" s="34">
        <f t="shared" si="1"/>
        <v>16</v>
      </c>
      <c r="N23" s="34"/>
      <c r="O23" s="35"/>
      <c r="P23" s="160"/>
      <c r="Q23" s="159"/>
      <c r="R23" s="159"/>
      <c r="S23" s="159">
        <f t="shared" si="4"/>
        <v>0</v>
      </c>
      <c r="T23" s="159"/>
      <c r="Y23" s="157"/>
      <c r="AA23" s="29"/>
    </row>
    <row r="24" spans="1:27" s="28" customFormat="1">
      <c r="A24" s="30"/>
      <c r="B24" s="277" t="s">
        <v>60</v>
      </c>
      <c r="C24" s="293"/>
      <c r="D24" s="294"/>
      <c r="E24" s="36">
        <v>3</v>
      </c>
      <c r="F24" s="36">
        <v>16</v>
      </c>
      <c r="G24" s="32"/>
      <c r="H24" s="37"/>
      <c r="I24" s="36"/>
      <c r="J24" s="35"/>
      <c r="K24" s="35"/>
      <c r="L24" s="34">
        <f>E24*F24</f>
        <v>48</v>
      </c>
      <c r="M24" s="34">
        <f t="shared" si="1"/>
        <v>48</v>
      </c>
      <c r="N24" s="34"/>
      <c r="O24" s="35"/>
      <c r="P24" s="160"/>
      <c r="Q24" s="159"/>
      <c r="R24" s="159"/>
      <c r="S24" s="159">
        <f t="shared" si="4"/>
        <v>0</v>
      </c>
      <c r="T24" s="159"/>
      <c r="Y24" s="157"/>
      <c r="AA24" s="29"/>
    </row>
    <row r="25" spans="1:27" s="28" customFormat="1">
      <c r="A25" s="30"/>
      <c r="B25" s="277" t="s">
        <v>32</v>
      </c>
      <c r="C25" s="293"/>
      <c r="D25" s="294"/>
      <c r="E25" s="36"/>
      <c r="F25" s="36"/>
      <c r="G25" s="36"/>
      <c r="H25" s="37"/>
      <c r="I25" s="36"/>
      <c r="J25" s="35">
        <v>495</v>
      </c>
      <c r="K25" s="35">
        <v>564</v>
      </c>
      <c r="L25" s="35">
        <f>SUM(L22:L24)</f>
        <v>515</v>
      </c>
      <c r="M25" s="34">
        <f t="shared" si="1"/>
        <v>515</v>
      </c>
      <c r="N25" s="34">
        <f t="shared" ref="N25:N27" si="17">L25-K25</f>
        <v>-49</v>
      </c>
      <c r="O25" s="27">
        <v>17.5</v>
      </c>
      <c r="P25" s="160">
        <v>8662.5</v>
      </c>
      <c r="Q25" s="159">
        <f>K25*O25</f>
        <v>9870</v>
      </c>
      <c r="R25" s="159">
        <f t="shared" ref="R25:R27" si="18">L25*O25</f>
        <v>9012.5</v>
      </c>
      <c r="S25" s="159">
        <f t="shared" si="4"/>
        <v>9012.5</v>
      </c>
      <c r="T25" s="159">
        <f t="shared" ref="T25:T27" si="19">R25-Q25</f>
        <v>-857.5</v>
      </c>
      <c r="Y25" s="157"/>
      <c r="AA25" s="29"/>
    </row>
    <row r="26" spans="1:27" s="28" customFormat="1">
      <c r="A26" s="30">
        <v>14</v>
      </c>
      <c r="B26" s="254" t="s">
        <v>42</v>
      </c>
      <c r="C26" s="254"/>
      <c r="D26" s="254"/>
      <c r="E26" s="36">
        <v>45</v>
      </c>
      <c r="F26" s="36"/>
      <c r="G26" s="36">
        <v>2</v>
      </c>
      <c r="H26" s="37"/>
      <c r="I26" s="36"/>
      <c r="J26" s="35">
        <v>70</v>
      </c>
      <c r="K26" s="34">
        <v>70</v>
      </c>
      <c r="L26" s="34">
        <f>E26*G26</f>
        <v>90</v>
      </c>
      <c r="M26" s="34">
        <f t="shared" si="1"/>
        <v>90</v>
      </c>
      <c r="N26" s="34">
        <f t="shared" si="17"/>
        <v>20</v>
      </c>
      <c r="O26" s="35">
        <v>17.5</v>
      </c>
      <c r="P26" s="160">
        <v>1225</v>
      </c>
      <c r="Q26" s="159">
        <f>K26*O26</f>
        <v>1225</v>
      </c>
      <c r="R26" s="159">
        <f t="shared" si="18"/>
        <v>1575</v>
      </c>
      <c r="S26" s="159">
        <f t="shared" si="4"/>
        <v>1575</v>
      </c>
      <c r="T26" s="159">
        <f t="shared" si="19"/>
        <v>350</v>
      </c>
      <c r="Y26" s="157"/>
      <c r="AA26" s="29"/>
    </row>
    <row r="27" spans="1:27" s="28" customFormat="1">
      <c r="A27" s="30">
        <v>15</v>
      </c>
      <c r="B27" s="277" t="s">
        <v>19</v>
      </c>
      <c r="C27" s="278"/>
      <c r="D27" s="279"/>
      <c r="E27" s="33">
        <v>40</v>
      </c>
      <c r="F27" s="31"/>
      <c r="G27" s="31"/>
      <c r="H27" s="33"/>
      <c r="I27" s="33">
        <v>1</v>
      </c>
      <c r="J27" s="35">
        <v>30</v>
      </c>
      <c r="K27" s="34">
        <v>30</v>
      </c>
      <c r="L27" s="34">
        <f t="shared" ref="L27" si="20">E27*I27</f>
        <v>40</v>
      </c>
      <c r="M27" s="34">
        <f t="shared" si="1"/>
        <v>40</v>
      </c>
      <c r="N27" s="34">
        <f t="shared" si="17"/>
        <v>10</v>
      </c>
      <c r="O27" s="35">
        <v>17.5</v>
      </c>
      <c r="P27" s="160">
        <v>525</v>
      </c>
      <c r="Q27" s="159">
        <f>K27*O27</f>
        <v>525</v>
      </c>
      <c r="R27" s="159">
        <f t="shared" si="18"/>
        <v>700</v>
      </c>
      <c r="S27" s="159">
        <f t="shared" si="4"/>
        <v>700</v>
      </c>
      <c r="T27" s="159">
        <f t="shared" si="19"/>
        <v>175</v>
      </c>
      <c r="Y27" s="157"/>
      <c r="AA27" s="29"/>
    </row>
    <row r="28" spans="1:27" s="28" customFormat="1">
      <c r="A28" s="30">
        <v>16</v>
      </c>
      <c r="B28" s="277" t="s">
        <v>35</v>
      </c>
      <c r="C28" s="278"/>
      <c r="D28" s="279"/>
      <c r="E28" s="33"/>
      <c r="F28" s="31"/>
      <c r="G28" s="31"/>
      <c r="H28" s="31"/>
      <c r="I28" s="31"/>
      <c r="J28" s="30"/>
      <c r="K28" s="30"/>
      <c r="L28" s="30"/>
      <c r="M28" s="34">
        <f t="shared" si="1"/>
        <v>0</v>
      </c>
      <c r="N28" s="30"/>
      <c r="O28" s="30"/>
      <c r="P28" s="30"/>
      <c r="Q28" s="30"/>
      <c r="R28" s="30"/>
      <c r="S28" s="159">
        <f t="shared" si="4"/>
        <v>0</v>
      </c>
      <c r="T28" s="30"/>
      <c r="Y28" s="157"/>
      <c r="AA28" s="29"/>
    </row>
    <row r="29" spans="1:27" s="28" customFormat="1">
      <c r="A29" s="30"/>
      <c r="B29" s="152" t="s">
        <v>68</v>
      </c>
      <c r="C29" s="153"/>
      <c r="D29" s="154"/>
      <c r="E29" s="33">
        <v>1</v>
      </c>
      <c r="F29" s="31"/>
      <c r="G29" s="31">
        <v>21</v>
      </c>
      <c r="H29" s="33"/>
      <c r="I29" s="33"/>
      <c r="J29" s="30"/>
      <c r="K29" s="30"/>
      <c r="L29" s="34">
        <f>E29*G29</f>
        <v>21</v>
      </c>
      <c r="M29" s="34">
        <f t="shared" si="1"/>
        <v>21</v>
      </c>
      <c r="N29" s="30"/>
      <c r="O29" s="30"/>
      <c r="P29" s="30"/>
      <c r="Q29" s="30"/>
      <c r="R29" s="30"/>
      <c r="S29" s="159">
        <f t="shared" si="4"/>
        <v>0</v>
      </c>
      <c r="T29" s="30"/>
      <c r="Y29" s="157"/>
      <c r="AA29" s="29"/>
    </row>
    <row r="30" spans="1:27" s="28" customFormat="1">
      <c r="A30" s="30"/>
      <c r="B30" s="152" t="s">
        <v>36</v>
      </c>
      <c r="C30" s="153"/>
      <c r="D30" s="154"/>
      <c r="E30" s="33">
        <v>15</v>
      </c>
      <c r="F30" s="31"/>
      <c r="G30" s="31">
        <v>6</v>
      </c>
      <c r="H30" s="33"/>
      <c r="I30" s="33"/>
      <c r="J30" s="35"/>
      <c r="K30" s="35"/>
      <c r="L30" s="35">
        <f>E30*G30</f>
        <v>90</v>
      </c>
      <c r="M30" s="34">
        <f t="shared" si="1"/>
        <v>90</v>
      </c>
      <c r="N30" s="34"/>
      <c r="O30" s="35"/>
      <c r="P30" s="160"/>
      <c r="Q30" s="159"/>
      <c r="R30" s="159"/>
      <c r="S30" s="159">
        <f t="shared" si="4"/>
        <v>0</v>
      </c>
      <c r="T30" s="159"/>
      <c r="Y30" s="157"/>
      <c r="AA30" s="29"/>
    </row>
    <row r="31" spans="1:27" s="28" customFormat="1">
      <c r="A31" s="30"/>
      <c r="B31" s="152" t="s">
        <v>37</v>
      </c>
      <c r="C31" s="153"/>
      <c r="D31" s="154"/>
      <c r="E31" s="33">
        <v>1</v>
      </c>
      <c r="F31" s="31">
        <v>30</v>
      </c>
      <c r="G31" s="31"/>
      <c r="H31" s="33"/>
      <c r="I31" s="33"/>
      <c r="J31" s="35"/>
      <c r="K31" s="35"/>
      <c r="L31" s="35">
        <f>E31*F31</f>
        <v>30</v>
      </c>
      <c r="M31" s="34">
        <f t="shared" si="1"/>
        <v>30</v>
      </c>
      <c r="N31" s="34"/>
      <c r="O31" s="35"/>
      <c r="P31" s="160"/>
      <c r="Q31" s="159"/>
      <c r="R31" s="159"/>
      <c r="S31" s="159">
        <f t="shared" si="4"/>
        <v>0</v>
      </c>
      <c r="T31" s="159"/>
      <c r="Y31" s="157"/>
      <c r="AA31" s="29"/>
    </row>
    <row r="32" spans="1:27" s="28" customFormat="1">
      <c r="A32" s="30"/>
      <c r="B32" s="152" t="s">
        <v>32</v>
      </c>
      <c r="C32" s="153"/>
      <c r="D32" s="154"/>
      <c r="E32" s="33"/>
      <c r="F32" s="31"/>
      <c r="G32" s="31"/>
      <c r="H32" s="33"/>
      <c r="I32" s="33"/>
      <c r="J32" s="35">
        <v>220</v>
      </c>
      <c r="K32" s="35">
        <v>101</v>
      </c>
      <c r="L32" s="35">
        <f>SUM(L29:L31)</f>
        <v>141</v>
      </c>
      <c r="M32" s="34">
        <f t="shared" si="1"/>
        <v>141</v>
      </c>
      <c r="N32" s="34">
        <f t="shared" ref="N32:N45" si="21">L32-K32</f>
        <v>40</v>
      </c>
      <c r="O32" s="35">
        <v>17.5</v>
      </c>
      <c r="P32" s="160">
        <v>3850</v>
      </c>
      <c r="Q32" s="159">
        <f t="shared" ref="Q32:Q38" si="22">K32*O32</f>
        <v>1767.5</v>
      </c>
      <c r="R32" s="159">
        <f t="shared" ref="R32:R38" si="23">L32*O32</f>
        <v>2467.5</v>
      </c>
      <c r="S32" s="159">
        <f t="shared" si="4"/>
        <v>2467.5</v>
      </c>
      <c r="T32" s="159">
        <f t="shared" ref="T32:T38" si="24">R32-Q32</f>
        <v>700</v>
      </c>
      <c r="Y32" s="157"/>
      <c r="AA32" s="29"/>
    </row>
    <row r="33" spans="1:27" s="28" customFormat="1">
      <c r="A33" s="30">
        <v>17</v>
      </c>
      <c r="B33" s="277" t="s">
        <v>20</v>
      </c>
      <c r="C33" s="278"/>
      <c r="D33" s="279"/>
      <c r="E33" s="33">
        <v>34</v>
      </c>
      <c r="F33" s="31"/>
      <c r="G33" s="31"/>
      <c r="H33" s="33"/>
      <c r="I33" s="33">
        <v>0</v>
      </c>
      <c r="J33" s="35">
        <v>30</v>
      </c>
      <c r="K33" s="34">
        <v>30</v>
      </c>
      <c r="L33" s="34">
        <f>I33*E33</f>
        <v>0</v>
      </c>
      <c r="M33" s="34">
        <f t="shared" si="1"/>
        <v>0</v>
      </c>
      <c r="N33" s="34">
        <f t="shared" si="21"/>
        <v>-30</v>
      </c>
      <c r="O33" s="35">
        <v>17.5</v>
      </c>
      <c r="P33" s="160">
        <v>525</v>
      </c>
      <c r="Q33" s="159">
        <f t="shared" si="22"/>
        <v>525</v>
      </c>
      <c r="R33" s="159">
        <f t="shared" si="23"/>
        <v>0</v>
      </c>
      <c r="S33" s="159">
        <f t="shared" si="4"/>
        <v>0</v>
      </c>
      <c r="T33" s="159">
        <f t="shared" si="24"/>
        <v>-525</v>
      </c>
      <c r="Y33" s="157"/>
      <c r="AA33" s="29"/>
    </row>
    <row r="34" spans="1:27" s="28" customFormat="1">
      <c r="A34" s="30">
        <v>18</v>
      </c>
      <c r="B34" s="277" t="s">
        <v>21</v>
      </c>
      <c r="C34" s="278"/>
      <c r="D34" s="279"/>
      <c r="E34" s="33">
        <v>20</v>
      </c>
      <c r="F34" s="31"/>
      <c r="G34" s="31">
        <v>1</v>
      </c>
      <c r="H34" s="33"/>
      <c r="I34" s="33"/>
      <c r="J34" s="35">
        <v>20</v>
      </c>
      <c r="K34" s="34">
        <v>4</v>
      </c>
      <c r="L34" s="34">
        <f>E34*G34</f>
        <v>20</v>
      </c>
      <c r="M34" s="34">
        <f t="shared" si="1"/>
        <v>20</v>
      </c>
      <c r="N34" s="34">
        <f t="shared" si="21"/>
        <v>16</v>
      </c>
      <c r="O34" s="35">
        <v>17.5</v>
      </c>
      <c r="P34" s="160">
        <v>350</v>
      </c>
      <c r="Q34" s="159">
        <f t="shared" si="22"/>
        <v>70</v>
      </c>
      <c r="R34" s="159">
        <f t="shared" si="23"/>
        <v>350</v>
      </c>
      <c r="S34" s="159">
        <f t="shared" si="4"/>
        <v>350</v>
      </c>
      <c r="T34" s="159">
        <f t="shared" si="24"/>
        <v>280</v>
      </c>
      <c r="Y34" s="157"/>
      <c r="AA34" s="29"/>
    </row>
    <row r="35" spans="1:27" s="28" customFormat="1">
      <c r="A35" s="30">
        <v>19</v>
      </c>
      <c r="B35" s="254" t="s">
        <v>22</v>
      </c>
      <c r="C35" s="254"/>
      <c r="D35" s="254"/>
      <c r="E35" s="36">
        <v>20</v>
      </c>
      <c r="F35" s="36"/>
      <c r="G35" s="36">
        <v>1</v>
      </c>
      <c r="H35" s="37"/>
      <c r="I35" s="36"/>
      <c r="J35" s="35">
        <v>20</v>
      </c>
      <c r="K35" s="34">
        <v>4</v>
      </c>
      <c r="L35" s="34">
        <f>E35*G35</f>
        <v>20</v>
      </c>
      <c r="M35" s="34">
        <f t="shared" si="1"/>
        <v>20</v>
      </c>
      <c r="N35" s="34">
        <f t="shared" si="21"/>
        <v>16</v>
      </c>
      <c r="O35" s="35">
        <v>17.5</v>
      </c>
      <c r="P35" s="160">
        <v>350</v>
      </c>
      <c r="Q35" s="159">
        <f t="shared" si="22"/>
        <v>70</v>
      </c>
      <c r="R35" s="159">
        <f t="shared" si="23"/>
        <v>350</v>
      </c>
      <c r="S35" s="159">
        <f t="shared" si="4"/>
        <v>350</v>
      </c>
      <c r="T35" s="159">
        <f t="shared" si="24"/>
        <v>280</v>
      </c>
      <c r="Y35" s="157"/>
      <c r="AA35" s="29"/>
    </row>
    <row r="36" spans="1:27" s="28" customFormat="1">
      <c r="A36" s="30">
        <v>20</v>
      </c>
      <c r="B36" s="254" t="s">
        <v>23</v>
      </c>
      <c r="C36" s="254"/>
      <c r="D36" s="254"/>
      <c r="E36" s="36">
        <v>0</v>
      </c>
      <c r="F36" s="36"/>
      <c r="G36" s="36">
        <v>1</v>
      </c>
      <c r="H36" s="37"/>
      <c r="I36" s="36"/>
      <c r="J36" s="35">
        <v>30</v>
      </c>
      <c r="K36" s="34">
        <v>6</v>
      </c>
      <c r="L36" s="34">
        <f>E36*G36</f>
        <v>0</v>
      </c>
      <c r="M36" s="34">
        <f t="shared" si="1"/>
        <v>0</v>
      </c>
      <c r="N36" s="34">
        <f t="shared" si="21"/>
        <v>-6</v>
      </c>
      <c r="O36" s="35">
        <v>17.5</v>
      </c>
      <c r="P36" s="160">
        <v>525</v>
      </c>
      <c r="Q36" s="159">
        <f t="shared" si="22"/>
        <v>105</v>
      </c>
      <c r="R36" s="159">
        <f t="shared" si="23"/>
        <v>0</v>
      </c>
      <c r="S36" s="159">
        <f t="shared" si="4"/>
        <v>0</v>
      </c>
      <c r="T36" s="159">
        <f t="shared" si="24"/>
        <v>-105</v>
      </c>
      <c r="Y36" s="157"/>
      <c r="AA36" s="29"/>
    </row>
    <row r="37" spans="1:27" s="28" customFormat="1">
      <c r="A37" s="30">
        <v>21</v>
      </c>
      <c r="B37" s="277" t="s">
        <v>24</v>
      </c>
      <c r="C37" s="278"/>
      <c r="D37" s="280"/>
      <c r="E37" s="33">
        <v>10</v>
      </c>
      <c r="F37" s="31"/>
      <c r="G37" s="31"/>
      <c r="H37" s="33"/>
      <c r="I37" s="33">
        <v>1</v>
      </c>
      <c r="J37" s="35">
        <v>25</v>
      </c>
      <c r="K37" s="34">
        <v>10</v>
      </c>
      <c r="L37" s="34">
        <f>E37*I37</f>
        <v>10</v>
      </c>
      <c r="M37" s="34">
        <f t="shared" si="1"/>
        <v>10</v>
      </c>
      <c r="N37" s="34">
        <f t="shared" si="21"/>
        <v>0</v>
      </c>
      <c r="O37" s="35">
        <v>17.5</v>
      </c>
      <c r="P37" s="160">
        <v>437.5</v>
      </c>
      <c r="Q37" s="159">
        <f t="shared" si="22"/>
        <v>175</v>
      </c>
      <c r="R37" s="159">
        <f t="shared" si="23"/>
        <v>175</v>
      </c>
      <c r="S37" s="159">
        <f t="shared" si="4"/>
        <v>175</v>
      </c>
      <c r="T37" s="159">
        <f t="shared" si="24"/>
        <v>0</v>
      </c>
      <c r="Y37" s="157"/>
      <c r="AA37" s="29"/>
    </row>
    <row r="38" spans="1:27" s="28" customFormat="1">
      <c r="A38" s="30">
        <v>22</v>
      </c>
      <c r="B38" s="282" t="s">
        <v>47</v>
      </c>
      <c r="C38" s="282"/>
      <c r="D38" s="282"/>
      <c r="E38" s="36">
        <v>50</v>
      </c>
      <c r="F38" s="36"/>
      <c r="G38" s="36"/>
      <c r="H38" s="37"/>
      <c r="I38" s="36">
        <v>0</v>
      </c>
      <c r="J38" s="155"/>
      <c r="K38" s="34">
        <v>10</v>
      </c>
      <c r="L38" s="34">
        <f>E38*I38</f>
        <v>0</v>
      </c>
      <c r="M38" s="34">
        <f t="shared" si="1"/>
        <v>0</v>
      </c>
      <c r="N38" s="34">
        <f t="shared" si="21"/>
        <v>-10</v>
      </c>
      <c r="O38" s="35">
        <v>17.5</v>
      </c>
      <c r="P38" s="158">
        <v>0</v>
      </c>
      <c r="Q38" s="159">
        <f t="shared" si="22"/>
        <v>175</v>
      </c>
      <c r="R38" s="159">
        <f t="shared" si="23"/>
        <v>0</v>
      </c>
      <c r="S38" s="159">
        <f t="shared" si="4"/>
        <v>0</v>
      </c>
      <c r="T38" s="159">
        <f t="shared" si="24"/>
        <v>-175</v>
      </c>
      <c r="Y38" s="157"/>
      <c r="AA38" s="29"/>
    </row>
    <row r="39" spans="1:27" s="28" customFormat="1">
      <c r="A39" s="30">
        <v>23</v>
      </c>
      <c r="B39" s="282" t="s">
        <v>49</v>
      </c>
      <c r="C39" s="282"/>
      <c r="D39" s="282"/>
      <c r="E39" s="36">
        <v>50</v>
      </c>
      <c r="F39" s="36"/>
      <c r="G39" s="36"/>
      <c r="H39" s="37"/>
      <c r="I39" s="36">
        <v>0</v>
      </c>
      <c r="J39" s="155"/>
      <c r="K39" s="34">
        <v>10</v>
      </c>
      <c r="L39" s="34">
        <f t="shared" ref="L39:L44" si="25">E39*I39</f>
        <v>0</v>
      </c>
      <c r="M39" s="34">
        <f t="shared" si="1"/>
        <v>0</v>
      </c>
      <c r="N39" s="34">
        <f t="shared" si="21"/>
        <v>-10</v>
      </c>
      <c r="O39" s="35">
        <v>17.5</v>
      </c>
      <c r="P39" s="158">
        <v>0</v>
      </c>
      <c r="Q39" s="159">
        <f t="shared" ref="Q39:Q45" si="26">K39*O39</f>
        <v>175</v>
      </c>
      <c r="R39" s="159">
        <f t="shared" ref="R39:R45" si="27">L39*O39</f>
        <v>0</v>
      </c>
      <c r="S39" s="159">
        <f t="shared" si="4"/>
        <v>0</v>
      </c>
      <c r="T39" s="159">
        <f t="shared" ref="T39:T45" si="28">R39-Q39</f>
        <v>-175</v>
      </c>
      <c r="Y39" s="157"/>
      <c r="AA39" s="29"/>
    </row>
    <row r="40" spans="1:27" s="28" customFormat="1">
      <c r="A40" s="30">
        <v>24</v>
      </c>
      <c r="B40" s="282" t="s">
        <v>50</v>
      </c>
      <c r="C40" s="282"/>
      <c r="D40" s="282"/>
      <c r="E40" s="36">
        <v>50</v>
      </c>
      <c r="F40" s="36"/>
      <c r="G40" s="36"/>
      <c r="H40" s="37"/>
      <c r="I40" s="36">
        <v>0</v>
      </c>
      <c r="J40" s="155"/>
      <c r="K40" s="34">
        <v>10</v>
      </c>
      <c r="L40" s="34">
        <f t="shared" si="25"/>
        <v>0</v>
      </c>
      <c r="M40" s="34">
        <f t="shared" si="1"/>
        <v>0</v>
      </c>
      <c r="N40" s="34">
        <f t="shared" si="21"/>
        <v>-10</v>
      </c>
      <c r="O40" s="35">
        <v>17.5</v>
      </c>
      <c r="P40" s="158">
        <v>0</v>
      </c>
      <c r="Q40" s="159">
        <f t="shared" si="26"/>
        <v>175</v>
      </c>
      <c r="R40" s="159">
        <f t="shared" si="27"/>
        <v>0</v>
      </c>
      <c r="S40" s="159">
        <f t="shared" si="4"/>
        <v>0</v>
      </c>
      <c r="T40" s="159">
        <f t="shared" si="28"/>
        <v>-175</v>
      </c>
      <c r="Y40" s="157"/>
      <c r="AA40" s="29"/>
    </row>
    <row r="41" spans="1:27" s="28" customFormat="1">
      <c r="A41" s="30">
        <v>22</v>
      </c>
      <c r="B41" s="282" t="s">
        <v>61</v>
      </c>
      <c r="C41" s="282"/>
      <c r="D41" s="282"/>
      <c r="E41" s="36">
        <v>50</v>
      </c>
      <c r="F41" s="36"/>
      <c r="G41" s="36"/>
      <c r="H41" s="37"/>
      <c r="I41" s="36">
        <v>1</v>
      </c>
      <c r="J41" s="155"/>
      <c r="K41" s="34">
        <v>0</v>
      </c>
      <c r="L41" s="34">
        <f t="shared" si="25"/>
        <v>50</v>
      </c>
      <c r="M41" s="34">
        <f t="shared" si="1"/>
        <v>50</v>
      </c>
      <c r="N41" s="34">
        <f t="shared" ref="N41:N43" si="29">L41-K41</f>
        <v>50</v>
      </c>
      <c r="O41" s="35">
        <v>17.5</v>
      </c>
      <c r="P41" s="158">
        <v>0</v>
      </c>
      <c r="Q41" s="159">
        <f t="shared" ref="Q41:Q43" si="30">K41*O41</f>
        <v>0</v>
      </c>
      <c r="R41" s="159">
        <f t="shared" ref="R41:R43" si="31">L41*O41</f>
        <v>875</v>
      </c>
      <c r="S41" s="159">
        <f t="shared" si="4"/>
        <v>875</v>
      </c>
      <c r="T41" s="159">
        <f t="shared" ref="T41:T43" si="32">R41-Q41</f>
        <v>875</v>
      </c>
      <c r="Y41" s="157"/>
      <c r="AA41" s="29"/>
    </row>
    <row r="42" spans="1:27" s="28" customFormat="1">
      <c r="A42" s="30">
        <v>23</v>
      </c>
      <c r="B42" s="282" t="s">
        <v>62</v>
      </c>
      <c r="C42" s="282"/>
      <c r="D42" s="282"/>
      <c r="E42" s="36">
        <v>50</v>
      </c>
      <c r="F42" s="36"/>
      <c r="G42" s="36"/>
      <c r="H42" s="37"/>
      <c r="I42" s="36">
        <v>1</v>
      </c>
      <c r="J42" s="155"/>
      <c r="K42" s="34">
        <v>0</v>
      </c>
      <c r="L42" s="34">
        <f t="shared" si="25"/>
        <v>50</v>
      </c>
      <c r="M42" s="34">
        <f t="shared" si="1"/>
        <v>50</v>
      </c>
      <c r="N42" s="34">
        <f t="shared" si="29"/>
        <v>50</v>
      </c>
      <c r="O42" s="35">
        <v>17.5</v>
      </c>
      <c r="P42" s="158">
        <v>0</v>
      </c>
      <c r="Q42" s="159">
        <f t="shared" si="30"/>
        <v>0</v>
      </c>
      <c r="R42" s="159">
        <f t="shared" si="31"/>
        <v>875</v>
      </c>
      <c r="S42" s="159">
        <f t="shared" si="4"/>
        <v>875</v>
      </c>
      <c r="T42" s="159">
        <f t="shared" si="32"/>
        <v>875</v>
      </c>
      <c r="Y42" s="157"/>
      <c r="AA42" s="29"/>
    </row>
    <row r="43" spans="1:27" s="28" customFormat="1">
      <c r="A43" s="30">
        <v>24</v>
      </c>
      <c r="B43" s="282" t="s">
        <v>63</v>
      </c>
      <c r="C43" s="282"/>
      <c r="D43" s="282"/>
      <c r="E43" s="36">
        <v>50</v>
      </c>
      <c r="F43" s="36"/>
      <c r="G43" s="36"/>
      <c r="H43" s="37"/>
      <c r="I43" s="36">
        <v>1</v>
      </c>
      <c r="J43" s="155"/>
      <c r="K43" s="34">
        <v>0</v>
      </c>
      <c r="L43" s="34">
        <f t="shared" si="25"/>
        <v>50</v>
      </c>
      <c r="M43" s="34">
        <f t="shared" si="1"/>
        <v>50</v>
      </c>
      <c r="N43" s="34">
        <f t="shared" si="29"/>
        <v>50</v>
      </c>
      <c r="O43" s="35">
        <v>17.5</v>
      </c>
      <c r="P43" s="158">
        <v>0</v>
      </c>
      <c r="Q43" s="159">
        <f t="shared" si="30"/>
        <v>0</v>
      </c>
      <c r="R43" s="159">
        <f t="shared" si="31"/>
        <v>875</v>
      </c>
      <c r="S43" s="159">
        <f t="shared" si="4"/>
        <v>875</v>
      </c>
      <c r="T43" s="159">
        <f t="shared" si="32"/>
        <v>875</v>
      </c>
      <c r="Y43" s="157"/>
      <c r="AA43" s="29"/>
    </row>
    <row r="44" spans="1:27" s="28" customFormat="1">
      <c r="A44" s="30">
        <v>24</v>
      </c>
      <c r="B44" s="282" t="s">
        <v>64</v>
      </c>
      <c r="C44" s="282"/>
      <c r="D44" s="282"/>
      <c r="E44" s="36">
        <v>50</v>
      </c>
      <c r="F44" s="36"/>
      <c r="G44" s="36"/>
      <c r="H44" s="37"/>
      <c r="I44" s="36">
        <v>1</v>
      </c>
      <c r="J44" s="155"/>
      <c r="K44" s="34">
        <v>0</v>
      </c>
      <c r="L44" s="34">
        <f t="shared" si="25"/>
        <v>50</v>
      </c>
      <c r="M44" s="34">
        <v>0</v>
      </c>
      <c r="N44" s="34">
        <f t="shared" ref="N44" si="33">L44-K44</f>
        <v>50</v>
      </c>
      <c r="O44" s="35">
        <v>17.5</v>
      </c>
      <c r="P44" s="158">
        <v>0</v>
      </c>
      <c r="Q44" s="159">
        <f t="shared" ref="Q44" si="34">K44*O44</f>
        <v>0</v>
      </c>
      <c r="R44" s="159">
        <f t="shared" ref="R44" si="35">L44*O44</f>
        <v>875</v>
      </c>
      <c r="S44" s="159">
        <f t="shared" si="4"/>
        <v>0</v>
      </c>
      <c r="T44" s="159">
        <f t="shared" ref="T44" si="36">R44-Q44</f>
        <v>875</v>
      </c>
      <c r="Y44" s="157"/>
      <c r="AA44" s="29"/>
    </row>
    <row r="45" spans="1:27" s="28" customFormat="1">
      <c r="A45" s="30">
        <v>25</v>
      </c>
      <c r="B45" s="282" t="s">
        <v>48</v>
      </c>
      <c r="C45" s="282"/>
      <c r="D45" s="282"/>
      <c r="E45" s="36">
        <v>0</v>
      </c>
      <c r="F45" s="36"/>
      <c r="G45" s="36">
        <v>1</v>
      </c>
      <c r="H45" s="37"/>
      <c r="I45" s="36"/>
      <c r="J45" s="155"/>
      <c r="K45" s="34">
        <v>309</v>
      </c>
      <c r="L45" s="34">
        <f>E45*G45</f>
        <v>0</v>
      </c>
      <c r="M45" s="34">
        <f t="shared" si="1"/>
        <v>0</v>
      </c>
      <c r="N45" s="34">
        <f t="shared" si="21"/>
        <v>-309</v>
      </c>
      <c r="O45" s="35">
        <v>17.5</v>
      </c>
      <c r="P45" s="158">
        <v>0</v>
      </c>
      <c r="Q45" s="159">
        <f t="shared" si="26"/>
        <v>5407.5</v>
      </c>
      <c r="R45" s="159">
        <f t="shared" si="27"/>
        <v>0</v>
      </c>
      <c r="S45" s="159">
        <f t="shared" si="4"/>
        <v>0</v>
      </c>
      <c r="T45" s="159">
        <f t="shared" si="28"/>
        <v>-5407.5</v>
      </c>
      <c r="Y45" s="157"/>
      <c r="AA45" s="29"/>
    </row>
    <row r="46" spans="1:27">
      <c r="C46" s="4"/>
      <c r="D46" s="4"/>
      <c r="E46" s="4"/>
      <c r="F46" s="4"/>
      <c r="G46" s="4"/>
      <c r="H46" s="4"/>
      <c r="I46" s="4"/>
      <c r="J46" s="4"/>
      <c r="K46" s="5"/>
      <c r="L46" s="5"/>
      <c r="M46" s="5"/>
      <c r="N46" s="5"/>
      <c r="O46" s="6"/>
      <c r="P46" s="5"/>
    </row>
    <row r="47" spans="1:27">
      <c r="N47" s="7">
        <f>SUM(N32:N45)+N25+N26+N27+N20+N19+N13+N12+N11+N10+N8+N7+N6+N6+N5+N3+N2</f>
        <v>91</v>
      </c>
      <c r="Q47" s="8">
        <f>SUM(Q2:Q45)</f>
        <v>42455</v>
      </c>
      <c r="R47" s="8">
        <f>SUM(R2:R45)</f>
        <v>43907.5</v>
      </c>
      <c r="S47" s="8">
        <f>SUM(S2:S45)</f>
        <v>46707.5</v>
      </c>
      <c r="T47" s="8">
        <f>SUM(T2:T45)</f>
        <v>1452.5</v>
      </c>
    </row>
    <row r="48" spans="1:27">
      <c r="R48" s="10">
        <f>O68+Q68+S68</f>
        <v>46752.672200000001</v>
      </c>
      <c r="S48" s="10"/>
    </row>
    <row r="52" spans="1:28">
      <c r="A52" s="1">
        <v>1</v>
      </c>
      <c r="B52" s="277" t="s">
        <v>71</v>
      </c>
      <c r="C52" s="278"/>
      <c r="D52" s="279"/>
      <c r="E52" s="13"/>
      <c r="F52" s="11"/>
      <c r="G52" s="11"/>
      <c r="H52" s="13"/>
      <c r="I52" s="13"/>
      <c r="J52" s="3"/>
      <c r="K52" s="2">
        <v>270</v>
      </c>
      <c r="L52" s="18">
        <v>300</v>
      </c>
      <c r="M52" s="18">
        <v>400</v>
      </c>
      <c r="N52" s="18"/>
      <c r="O52" s="2">
        <f t="shared" ref="O52:O61" si="37">L52-K52</f>
        <v>30</v>
      </c>
      <c r="P52" s="3">
        <v>14.5</v>
      </c>
      <c r="Q52" s="9">
        <f t="shared" ref="Q52:Q58" si="38">K52*P52</f>
        <v>3915</v>
      </c>
      <c r="R52" s="22">
        <f t="shared" ref="R52:R58" si="39">L52*P52</f>
        <v>4350</v>
      </c>
      <c r="S52" s="23">
        <f>M52*P52</f>
        <v>5800</v>
      </c>
      <c r="T52" s="22"/>
      <c r="U52" s="9">
        <f t="shared" ref="U52:U61" si="40">R52-Q52</f>
        <v>435</v>
      </c>
      <c r="Y52" s="7"/>
      <c r="Z52" s="19"/>
      <c r="AA52" s="7"/>
      <c r="AB52"/>
    </row>
    <row r="53" spans="1:28">
      <c r="A53" s="1">
        <v>2</v>
      </c>
      <c r="B53" s="277" t="s">
        <v>51</v>
      </c>
      <c r="C53" s="278"/>
      <c r="D53" s="279"/>
      <c r="E53" s="13"/>
      <c r="F53" s="11"/>
      <c r="G53" s="11"/>
      <c r="H53" s="13"/>
      <c r="I53" s="13"/>
      <c r="J53" s="3"/>
      <c r="K53" s="2">
        <v>60</v>
      </c>
      <c r="L53" s="18">
        <v>60</v>
      </c>
      <c r="M53" s="18">
        <v>140</v>
      </c>
      <c r="N53" s="18"/>
      <c r="O53" s="2">
        <f t="shared" si="37"/>
        <v>0</v>
      </c>
      <c r="P53" s="3">
        <v>12.5</v>
      </c>
      <c r="Q53" s="9">
        <f t="shared" si="38"/>
        <v>750</v>
      </c>
      <c r="R53" s="22">
        <f t="shared" si="39"/>
        <v>750</v>
      </c>
      <c r="S53" s="23">
        <f t="shared" ref="S53:S61" si="41">M53*P53</f>
        <v>1750</v>
      </c>
      <c r="T53" s="22"/>
      <c r="U53" s="9">
        <f t="shared" si="40"/>
        <v>0</v>
      </c>
      <c r="Y53" s="7"/>
      <c r="Z53" s="19"/>
      <c r="AA53" s="7"/>
      <c r="AB53"/>
    </row>
    <row r="54" spans="1:28">
      <c r="A54" s="1">
        <v>3</v>
      </c>
      <c r="B54" s="254" t="s">
        <v>52</v>
      </c>
      <c r="C54" s="254"/>
      <c r="D54" s="254"/>
      <c r="E54" s="12"/>
      <c r="F54" s="12"/>
      <c r="G54" s="12"/>
      <c r="H54" s="14"/>
      <c r="I54" s="12"/>
      <c r="J54" s="3"/>
      <c r="K54" s="2">
        <v>9</v>
      </c>
      <c r="L54" s="18">
        <v>10</v>
      </c>
      <c r="M54" s="18">
        <v>10</v>
      </c>
      <c r="N54" s="18"/>
      <c r="O54" s="2">
        <f t="shared" si="37"/>
        <v>1</v>
      </c>
      <c r="P54" s="3">
        <v>12.5</v>
      </c>
      <c r="Q54" s="9">
        <f t="shared" si="38"/>
        <v>112.5</v>
      </c>
      <c r="R54" s="22">
        <f t="shared" si="39"/>
        <v>125</v>
      </c>
      <c r="S54" s="23">
        <f t="shared" si="41"/>
        <v>125</v>
      </c>
      <c r="T54" s="22"/>
      <c r="U54" s="9">
        <f t="shared" si="40"/>
        <v>12.5</v>
      </c>
      <c r="Y54" s="7"/>
      <c r="Z54" s="19"/>
      <c r="AA54" s="7"/>
      <c r="AB54"/>
    </row>
    <row r="55" spans="1:28">
      <c r="A55" s="1">
        <v>4</v>
      </c>
      <c r="B55" s="254" t="s">
        <v>66</v>
      </c>
      <c r="C55" s="254"/>
      <c r="D55" s="254"/>
      <c r="E55" s="12"/>
      <c r="F55" s="12"/>
      <c r="G55" s="12"/>
      <c r="H55" s="14"/>
      <c r="I55" s="12"/>
      <c r="J55" s="3"/>
      <c r="K55" s="2">
        <v>57</v>
      </c>
      <c r="L55" s="18">
        <v>100</v>
      </c>
      <c r="M55" s="18">
        <v>100</v>
      </c>
      <c r="N55" s="18"/>
      <c r="O55" s="2">
        <f t="shared" si="37"/>
        <v>43</v>
      </c>
      <c r="P55" s="3">
        <v>12.5</v>
      </c>
      <c r="Q55" s="9">
        <f t="shared" si="38"/>
        <v>712.5</v>
      </c>
      <c r="R55" s="22">
        <f t="shared" si="39"/>
        <v>1250</v>
      </c>
      <c r="S55" s="23">
        <f t="shared" si="41"/>
        <v>1250</v>
      </c>
      <c r="T55" s="22"/>
      <c r="U55" s="9">
        <f t="shared" si="40"/>
        <v>537.5</v>
      </c>
      <c r="Y55" s="7"/>
      <c r="Z55" s="19"/>
      <c r="AA55" s="7"/>
      <c r="AB55"/>
    </row>
    <row r="56" spans="1:28">
      <c r="A56" s="1">
        <v>5</v>
      </c>
      <c r="B56" s="277" t="s">
        <v>53</v>
      </c>
      <c r="C56" s="278"/>
      <c r="D56" s="280"/>
      <c r="E56" s="16"/>
      <c r="F56" s="11"/>
      <c r="G56" s="11"/>
      <c r="H56" s="13"/>
      <c r="I56" s="13"/>
      <c r="J56" s="3"/>
      <c r="K56" s="2">
        <v>180</v>
      </c>
      <c r="L56" s="18">
        <v>200</v>
      </c>
      <c r="M56" s="18">
        <v>100</v>
      </c>
      <c r="N56" s="18"/>
      <c r="O56" s="2">
        <f t="shared" si="37"/>
        <v>20</v>
      </c>
      <c r="P56" s="3">
        <v>12.5</v>
      </c>
      <c r="Q56" s="9">
        <f t="shared" si="38"/>
        <v>2250</v>
      </c>
      <c r="R56" s="22">
        <f t="shared" si="39"/>
        <v>2500</v>
      </c>
      <c r="S56" s="23">
        <f t="shared" si="41"/>
        <v>1250</v>
      </c>
      <c r="T56" s="22"/>
      <c r="U56" s="9">
        <f t="shared" si="40"/>
        <v>250</v>
      </c>
      <c r="Y56" s="7"/>
      <c r="Z56" s="19"/>
      <c r="AA56" s="7"/>
      <c r="AB56"/>
    </row>
    <row r="57" spans="1:28">
      <c r="A57" s="1">
        <v>6</v>
      </c>
      <c r="B57" s="277" t="s">
        <v>55</v>
      </c>
      <c r="C57" s="278"/>
      <c r="D57" s="280"/>
      <c r="E57" s="12"/>
      <c r="F57" s="12"/>
      <c r="G57" s="12"/>
      <c r="H57" s="14"/>
      <c r="I57" s="12"/>
      <c r="J57" s="17"/>
      <c r="K57" s="2">
        <v>180</v>
      </c>
      <c r="L57" s="18">
        <v>100</v>
      </c>
      <c r="M57" s="18">
        <v>100</v>
      </c>
      <c r="N57" s="18"/>
      <c r="O57" s="2">
        <f t="shared" si="37"/>
        <v>-80</v>
      </c>
      <c r="P57" s="3">
        <v>12.5</v>
      </c>
      <c r="Q57" s="9">
        <f t="shared" si="38"/>
        <v>2250</v>
      </c>
      <c r="R57" s="22">
        <f t="shared" si="39"/>
        <v>1250</v>
      </c>
      <c r="S57" s="23">
        <f t="shared" si="41"/>
        <v>1250</v>
      </c>
      <c r="T57" s="22"/>
      <c r="U57" s="9">
        <f t="shared" si="40"/>
        <v>-1000</v>
      </c>
      <c r="Y57" s="7"/>
      <c r="Z57" s="19"/>
      <c r="AA57" s="7"/>
      <c r="AB57"/>
    </row>
    <row r="58" spans="1:28">
      <c r="A58" s="1">
        <v>7</v>
      </c>
      <c r="B58" s="277" t="s">
        <v>56</v>
      </c>
      <c r="C58" s="278"/>
      <c r="D58" s="280"/>
      <c r="E58" s="12"/>
      <c r="F58" s="12"/>
      <c r="G58" s="12"/>
      <c r="H58" s="14"/>
      <c r="I58" s="12"/>
      <c r="J58" s="17"/>
      <c r="K58" s="2">
        <v>73</v>
      </c>
      <c r="L58" s="18">
        <v>50</v>
      </c>
      <c r="M58" s="18">
        <v>10</v>
      </c>
      <c r="N58" s="18"/>
      <c r="O58" s="2">
        <f t="shared" si="37"/>
        <v>-23</v>
      </c>
      <c r="P58" s="3">
        <v>12.5</v>
      </c>
      <c r="Q58" s="9">
        <f t="shared" si="38"/>
        <v>912.5</v>
      </c>
      <c r="R58" s="22">
        <f t="shared" si="39"/>
        <v>625</v>
      </c>
      <c r="S58" s="23">
        <f t="shared" si="41"/>
        <v>125</v>
      </c>
      <c r="T58" s="22"/>
      <c r="U58" s="9">
        <f>R58-Q58</f>
        <v>-287.5</v>
      </c>
      <c r="Y58" s="7"/>
      <c r="Z58" s="19"/>
      <c r="AA58" s="7"/>
      <c r="AB58"/>
    </row>
    <row r="59" spans="1:28">
      <c r="A59" s="24"/>
      <c r="B59" s="295" t="s">
        <v>72</v>
      </c>
      <c r="C59" s="295"/>
      <c r="D59" s="296"/>
      <c r="E59" s="12"/>
      <c r="F59" s="12"/>
      <c r="G59" s="12"/>
      <c r="H59" s="14"/>
      <c r="I59" s="12"/>
      <c r="J59" s="17"/>
      <c r="K59" s="2"/>
      <c r="L59" s="18"/>
      <c r="M59" s="18">
        <v>100</v>
      </c>
      <c r="N59" s="18"/>
      <c r="O59" s="2"/>
      <c r="P59" s="3">
        <v>14.5</v>
      </c>
      <c r="Q59" s="9"/>
      <c r="R59" s="22"/>
      <c r="S59" s="23">
        <f t="shared" si="41"/>
        <v>1450</v>
      </c>
      <c r="T59" s="22"/>
      <c r="U59" s="9"/>
      <c r="Y59" s="7"/>
      <c r="Z59" s="19"/>
      <c r="AA59" s="7"/>
      <c r="AB59"/>
    </row>
    <row r="60" spans="1:28">
      <c r="A60" s="7">
        <v>8</v>
      </c>
      <c r="B60" s="297" t="s">
        <v>65</v>
      </c>
      <c r="C60" s="297"/>
      <c r="D60" s="298"/>
      <c r="E60" s="12"/>
      <c r="F60" s="12"/>
      <c r="G60" s="12"/>
      <c r="H60" s="14"/>
      <c r="I60" s="12"/>
      <c r="J60" s="17"/>
      <c r="K60" s="2">
        <v>73</v>
      </c>
      <c r="L60" s="18">
        <v>250</v>
      </c>
      <c r="M60" s="18">
        <v>400</v>
      </c>
      <c r="N60" s="18"/>
      <c r="O60" s="2">
        <f t="shared" si="37"/>
        <v>177</v>
      </c>
      <c r="P60" s="3">
        <v>12.5</v>
      </c>
      <c r="Q60" s="9">
        <f>K60*P60</f>
        <v>912.5</v>
      </c>
      <c r="R60" s="22">
        <f>L60*P60</f>
        <v>3125</v>
      </c>
      <c r="S60" s="23">
        <f t="shared" si="41"/>
        <v>5000</v>
      </c>
      <c r="T60" s="22"/>
      <c r="U60" s="9">
        <f>R60-Q60</f>
        <v>2212.5</v>
      </c>
      <c r="W60" s="10">
        <f>R64+R48</f>
        <v>65360.55</v>
      </c>
      <c r="X60" s="7">
        <f>R64/W60</f>
        <v>0.28469585705750644</v>
      </c>
      <c r="Y60" s="7"/>
      <c r="Z60" s="19"/>
      <c r="AA60" s="7"/>
      <c r="AB60"/>
    </row>
    <row r="61" spans="1:28">
      <c r="A61" s="1">
        <v>9</v>
      </c>
      <c r="B61" s="277" t="s">
        <v>54</v>
      </c>
      <c r="C61" s="278"/>
      <c r="D61" s="280"/>
      <c r="E61" s="12"/>
      <c r="F61" s="12"/>
      <c r="G61" s="12"/>
      <c r="H61" s="14"/>
      <c r="I61" s="12"/>
      <c r="J61" s="17"/>
      <c r="K61" s="2">
        <v>101</v>
      </c>
      <c r="L61" s="18">
        <v>50</v>
      </c>
      <c r="M61" s="18">
        <v>40</v>
      </c>
      <c r="N61" s="18"/>
      <c r="O61" s="2">
        <f t="shared" si="37"/>
        <v>-51</v>
      </c>
      <c r="P61" s="3">
        <v>14.5</v>
      </c>
      <c r="Q61" s="9">
        <f>K61*P61</f>
        <v>1464.5</v>
      </c>
      <c r="R61" s="22">
        <f>L61*P61</f>
        <v>725</v>
      </c>
      <c r="S61" s="23">
        <f t="shared" si="41"/>
        <v>580</v>
      </c>
      <c r="T61" s="22"/>
      <c r="U61" s="9">
        <f t="shared" si="40"/>
        <v>-739.5</v>
      </c>
      <c r="Y61" s="7"/>
      <c r="Z61" s="19"/>
      <c r="AA61" s="7"/>
      <c r="AB61"/>
    </row>
    <row r="63" spans="1:28">
      <c r="P63" s="21">
        <f>SUM(Q52:Q61)</f>
        <v>13279.5</v>
      </c>
      <c r="R63" s="21">
        <f>SUM(R52:R61)</f>
        <v>14700</v>
      </c>
      <c r="S63" s="25">
        <f>SUM(S52:S61)</f>
        <v>18580</v>
      </c>
    </row>
    <row r="64" spans="1:28">
      <c r="R64" s="25">
        <f>O69+Q69+S69</f>
        <v>18607.877800000002</v>
      </c>
    </row>
    <row r="65" spans="4:24">
      <c r="L65" s="7">
        <v>1920</v>
      </c>
      <c r="N65" s="19"/>
      <c r="O65" s="7">
        <v>2021</v>
      </c>
      <c r="P65"/>
      <c r="Q65" s="7" t="s">
        <v>46</v>
      </c>
      <c r="S65" s="25">
        <v>3196.47</v>
      </c>
      <c r="T65" s="7" t="s">
        <v>8</v>
      </c>
      <c r="W65" s="25">
        <f>R64+S65</f>
        <v>21804.347800000003</v>
      </c>
      <c r="X65" s="25">
        <f>21776.47/21804.35*100</f>
        <v>99.872135605968552</v>
      </c>
    </row>
    <row r="66" spans="4:24">
      <c r="H66" s="292" t="s">
        <v>11</v>
      </c>
      <c r="I66" s="292"/>
      <c r="J66" s="292"/>
      <c r="K66" s="292"/>
      <c r="L66" s="10">
        <v>57183.23</v>
      </c>
      <c r="M66" s="10"/>
      <c r="N66" s="19"/>
      <c r="O66" s="10">
        <v>55997.96</v>
      </c>
      <c r="P66"/>
      <c r="Q66" s="10"/>
      <c r="R66" s="10"/>
      <c r="S66" s="10">
        <f>S65+S63</f>
        <v>21776.47</v>
      </c>
      <c r="T66" s="10">
        <f>O66-L66</f>
        <v>-1185.2700000000041</v>
      </c>
    </row>
    <row r="67" spans="4:24">
      <c r="H67" s="292" t="s">
        <v>10</v>
      </c>
      <c r="I67" s="292"/>
      <c r="J67" s="292"/>
      <c r="K67" s="292"/>
      <c r="L67" s="10">
        <v>6100</v>
      </c>
      <c r="M67" s="10"/>
      <c r="N67" s="19"/>
      <c r="O67" s="7">
        <v>5983.6</v>
      </c>
      <c r="P67"/>
      <c r="Q67" s="10"/>
      <c r="R67" s="10"/>
      <c r="S67" s="10"/>
      <c r="T67" s="10">
        <f t="shared" ref="T67:T77" si="42">O67-L67</f>
        <v>-116.39999999999964</v>
      </c>
    </row>
    <row r="68" spans="4:24">
      <c r="H68" s="292" t="s">
        <v>1</v>
      </c>
      <c r="I68" s="292"/>
      <c r="J68" s="292"/>
      <c r="K68" s="292"/>
      <c r="L68" s="10">
        <f>(L66-L67+L79)*N68</f>
        <v>41408.473960000003</v>
      </c>
      <c r="M68" s="10"/>
      <c r="N68" s="19">
        <v>0.76600000000000001</v>
      </c>
      <c r="O68" s="10">
        <f>(O66-O67+O79)*P68</f>
        <v>36010.339200000002</v>
      </c>
      <c r="P68">
        <v>0.72</v>
      </c>
      <c r="Q68" s="10">
        <f>O77*R68</f>
        <v>10700.333000000001</v>
      </c>
      <c r="R68" s="10">
        <v>0.7</v>
      </c>
      <c r="S68" s="10">
        <v>42</v>
      </c>
      <c r="T68" s="10"/>
    </row>
    <row r="69" spans="4:24">
      <c r="D69" s="10">
        <f>O66+O77-O67</f>
        <v>65300.549999999996</v>
      </c>
      <c r="H69" s="292" t="s">
        <v>2</v>
      </c>
      <c r="I69" s="292"/>
      <c r="J69" s="292"/>
      <c r="K69" s="292"/>
      <c r="L69" s="10">
        <f>(L66-L67+L79)*N69</f>
        <v>12649.58604</v>
      </c>
      <c r="M69" s="10"/>
      <c r="N69" s="19">
        <f>1-N68</f>
        <v>0.23399999999999999</v>
      </c>
      <c r="O69" s="10">
        <f>(O66-O67+O79)*P69</f>
        <v>14004.020800000002</v>
      </c>
      <c r="P69">
        <v>0.28000000000000003</v>
      </c>
      <c r="Q69" s="10">
        <f>O77*R69</f>
        <v>4585.857</v>
      </c>
      <c r="R69" s="10">
        <v>0.3</v>
      </c>
      <c r="S69" s="10">
        <v>18</v>
      </c>
      <c r="T69" s="10"/>
    </row>
    <row r="70" spans="4:24">
      <c r="H70" s="292" t="s">
        <v>3</v>
      </c>
      <c r="I70" s="292"/>
      <c r="J70" s="292"/>
      <c r="K70" s="292"/>
      <c r="L70" s="10">
        <v>4793.21</v>
      </c>
      <c r="M70" s="10"/>
      <c r="N70" s="19"/>
      <c r="O70" s="10">
        <v>4673.1499999999996</v>
      </c>
      <c r="P70"/>
      <c r="Q70" s="10"/>
      <c r="R70" s="10"/>
      <c r="S70" s="10"/>
      <c r="T70" s="10">
        <f t="shared" si="42"/>
        <v>-120.0600000000004</v>
      </c>
    </row>
    <row r="71" spans="4:24">
      <c r="D71" s="10">
        <f>O66+O70+O71+O73+O74+O75+O76</f>
        <v>68727.98</v>
      </c>
      <c r="H71" s="292" t="s">
        <v>4</v>
      </c>
      <c r="I71" s="292"/>
      <c r="J71" s="292"/>
      <c r="K71" s="292"/>
      <c r="L71" s="10">
        <v>3275.81</v>
      </c>
      <c r="M71" s="10"/>
      <c r="N71" s="19"/>
      <c r="O71" s="10">
        <v>3196.47</v>
      </c>
      <c r="P71"/>
      <c r="Q71" s="10"/>
      <c r="R71" s="10"/>
      <c r="S71" s="10"/>
      <c r="T71" s="10">
        <f t="shared" si="42"/>
        <v>-79.340000000000146</v>
      </c>
    </row>
    <row r="72" spans="4:24">
      <c r="L72" s="10"/>
      <c r="M72" s="10"/>
      <c r="N72" s="19"/>
      <c r="O72" s="10"/>
      <c r="P72"/>
      <c r="Q72" s="10"/>
      <c r="R72" s="10"/>
      <c r="S72" s="10"/>
      <c r="T72" s="10"/>
    </row>
    <row r="73" spans="4:24">
      <c r="H73" s="292" t="s">
        <v>5</v>
      </c>
      <c r="I73" s="292"/>
      <c r="J73" s="292"/>
      <c r="K73" s="292"/>
      <c r="L73" s="10">
        <v>2966.32</v>
      </c>
      <c r="M73" s="10"/>
      <c r="N73" s="19"/>
      <c r="O73" s="10">
        <v>1653.57</v>
      </c>
      <c r="P73"/>
      <c r="Q73" s="10"/>
      <c r="R73" s="10"/>
      <c r="S73" s="10"/>
      <c r="T73" s="10">
        <f>(O73+O74)-L73</f>
        <v>-116.84000000000015</v>
      </c>
    </row>
    <row r="74" spans="4:24">
      <c r="L74" s="10"/>
      <c r="M74" s="10"/>
      <c r="N74" s="19"/>
      <c r="O74" s="10">
        <v>1195.9100000000001</v>
      </c>
      <c r="P74"/>
      <c r="Q74" s="10"/>
      <c r="R74" s="10">
        <f>46707.5+O70+O76</f>
        <v>52360.07</v>
      </c>
      <c r="S74" s="10">
        <f>R48+O70+O76</f>
        <v>52405.242200000001</v>
      </c>
      <c r="T74" s="10"/>
      <c r="U74" s="7">
        <f>R74/S74*100</f>
        <v>99.913802134855885</v>
      </c>
    </row>
    <row r="75" spans="4:24">
      <c r="D75" s="10">
        <f>R64+R48</f>
        <v>65360.55</v>
      </c>
      <c r="H75" s="292" t="s">
        <v>6</v>
      </c>
      <c r="I75" s="292"/>
      <c r="J75" s="292"/>
      <c r="K75" s="292"/>
      <c r="L75" s="10">
        <v>1037.6500000000001</v>
      </c>
      <c r="M75" s="10"/>
      <c r="N75" s="19"/>
      <c r="O75" s="10">
        <v>1031.5</v>
      </c>
      <c r="P75"/>
      <c r="Q75" s="10"/>
      <c r="R75" s="10"/>
      <c r="S75" s="10"/>
      <c r="T75" s="10">
        <f t="shared" si="42"/>
        <v>-6.1500000000000909</v>
      </c>
    </row>
    <row r="76" spans="4:24">
      <c r="D76" s="7">
        <f>46710.67+18589.88</f>
        <v>65300.55</v>
      </c>
      <c r="H76" s="292" t="s">
        <v>7</v>
      </c>
      <c r="I76" s="292"/>
      <c r="J76" s="292"/>
      <c r="K76" s="292"/>
      <c r="L76" s="10">
        <v>1066</v>
      </c>
      <c r="M76" s="10"/>
      <c r="N76" s="19"/>
      <c r="O76" s="10">
        <v>979.42</v>
      </c>
      <c r="P76"/>
      <c r="Q76" s="10"/>
      <c r="R76" s="10"/>
      <c r="S76" s="10"/>
      <c r="T76" s="10">
        <f t="shared" si="42"/>
        <v>-86.580000000000041</v>
      </c>
    </row>
    <row r="77" spans="4:24">
      <c r="D77" s="7">
        <f>46710.67/D76</f>
        <v>0.71531817113332119</v>
      </c>
      <c r="H77" s="292" t="s">
        <v>9</v>
      </c>
      <c r="I77" s="292"/>
      <c r="J77" s="292"/>
      <c r="K77" s="292"/>
      <c r="L77" s="10">
        <v>15971.97</v>
      </c>
      <c r="M77" s="10"/>
      <c r="N77" s="19"/>
      <c r="O77" s="10">
        <v>15286.19</v>
      </c>
      <c r="P77"/>
      <c r="Q77" s="10"/>
      <c r="R77" s="10"/>
      <c r="S77" s="10"/>
      <c r="T77" s="10">
        <f t="shared" si="42"/>
        <v>-685.77999999999884</v>
      </c>
    </row>
    <row r="78" spans="4:24">
      <c r="L78" s="10"/>
      <c r="M78" s="10"/>
      <c r="N78" s="19"/>
      <c r="O78" s="10"/>
      <c r="P78"/>
      <c r="Q78" s="10"/>
      <c r="R78" s="10"/>
      <c r="S78" s="10"/>
      <c r="T78" s="10"/>
    </row>
    <row r="79" spans="4:24">
      <c r="H79" s="292" t="s">
        <v>44</v>
      </c>
      <c r="I79" s="292"/>
      <c r="J79" s="292"/>
      <c r="K79" s="292"/>
      <c r="L79" s="10">
        <v>2974.83</v>
      </c>
      <c r="M79" s="10"/>
      <c r="N79" s="19"/>
      <c r="P79"/>
      <c r="T79" s="10"/>
    </row>
    <row r="80" spans="4:24">
      <c r="H80" s="292" t="s">
        <v>45</v>
      </c>
      <c r="I80" s="292"/>
      <c r="J80" s="292"/>
      <c r="K80" s="292"/>
      <c r="L80" s="7">
        <v>31.16</v>
      </c>
      <c r="N80" s="19"/>
      <c r="P80"/>
      <c r="T80" s="10"/>
    </row>
    <row r="82" spans="20:20">
      <c r="T82" s="7">
        <f>SUM(T65:T77)</f>
        <v>-2396.4200000000033</v>
      </c>
    </row>
  </sheetData>
  <mergeCells count="62">
    <mergeCell ref="H69:K69"/>
    <mergeCell ref="H70:K70"/>
    <mergeCell ref="H79:K79"/>
    <mergeCell ref="H80:K80"/>
    <mergeCell ref="H71:K71"/>
    <mergeCell ref="H73:K73"/>
    <mergeCell ref="H75:K75"/>
    <mergeCell ref="H76:K76"/>
    <mergeCell ref="H77:K77"/>
    <mergeCell ref="B36:D36"/>
    <mergeCell ref="B20:D20"/>
    <mergeCell ref="H66:K66"/>
    <mergeCell ref="H67:K67"/>
    <mergeCell ref="H68:K68"/>
    <mergeCell ref="B22:D22"/>
    <mergeCell ref="B23:D23"/>
    <mergeCell ref="B24:D24"/>
    <mergeCell ref="B59:D59"/>
    <mergeCell ref="B60:D60"/>
    <mergeCell ref="B38:D38"/>
    <mergeCell ref="B45:D45"/>
    <mergeCell ref="B37:D37"/>
    <mergeCell ref="B39:D39"/>
    <mergeCell ref="B40:D40"/>
    <mergeCell ref="B25:D25"/>
    <mergeCell ref="B5:D5"/>
    <mergeCell ref="B4:D4"/>
    <mergeCell ref="B57:D57"/>
    <mergeCell ref="B58:D58"/>
    <mergeCell ref="B61:D61"/>
    <mergeCell ref="B9:D9"/>
    <mergeCell ref="B41:D41"/>
    <mergeCell ref="B42:D42"/>
    <mergeCell ref="B43:D43"/>
    <mergeCell ref="B44:D44"/>
    <mergeCell ref="B52:D52"/>
    <mergeCell ref="B53:D53"/>
    <mergeCell ref="B54:D54"/>
    <mergeCell ref="B55:D55"/>
    <mergeCell ref="B56:D56"/>
    <mergeCell ref="B35:D35"/>
    <mergeCell ref="B34:D34"/>
    <mergeCell ref="B26:D26"/>
    <mergeCell ref="A1:D1"/>
    <mergeCell ref="B15:D15"/>
    <mergeCell ref="B16:D16"/>
    <mergeCell ref="B17:D17"/>
    <mergeCell ref="B12:D12"/>
    <mergeCell ref="B13:D13"/>
    <mergeCell ref="B8:D8"/>
    <mergeCell ref="B10:D10"/>
    <mergeCell ref="B11:D11"/>
    <mergeCell ref="B2:D2"/>
    <mergeCell ref="B3:D3"/>
    <mergeCell ref="B6:D6"/>
    <mergeCell ref="B7:D7"/>
    <mergeCell ref="B14:D14"/>
    <mergeCell ref="B21:D21"/>
    <mergeCell ref="B19:D19"/>
    <mergeCell ref="B27:D27"/>
    <mergeCell ref="B28:D28"/>
    <mergeCell ref="B33:D33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5" sqref="E5"/>
    </sheetView>
  </sheetViews>
  <sheetFormatPr defaultRowHeight="15"/>
  <cols>
    <col min="1" max="1" width="37.140625" customWidth="1"/>
    <col min="2" max="2" width="11" customWidth="1"/>
    <col min="3" max="3" width="19.42578125" customWidth="1"/>
    <col min="4" max="4" width="12.85546875" customWidth="1"/>
  </cols>
  <sheetData>
    <row r="1" spans="1:5">
      <c r="A1" s="164"/>
      <c r="B1" s="167" t="s">
        <v>280</v>
      </c>
      <c r="C1" s="164" t="s">
        <v>178</v>
      </c>
      <c r="D1" s="164" t="s">
        <v>176</v>
      </c>
      <c r="E1" s="164" t="s">
        <v>97</v>
      </c>
    </row>
    <row r="2" spans="1:5">
      <c r="A2" s="164"/>
      <c r="B2" s="164"/>
      <c r="C2" s="164"/>
      <c r="D2" s="164"/>
      <c r="E2" s="164"/>
    </row>
    <row r="3" spans="1:5">
      <c r="A3" s="173" t="s">
        <v>164</v>
      </c>
      <c r="B3" s="164">
        <v>54888.95</v>
      </c>
      <c r="C3" s="165">
        <v>3331.41</v>
      </c>
      <c r="E3" s="164">
        <f>B3+C3-D10</f>
        <v>52212.86</v>
      </c>
    </row>
    <row r="4" spans="1:5">
      <c r="A4" s="173" t="s">
        <v>193</v>
      </c>
      <c r="B4" s="164">
        <v>4398.8100000000004</v>
      </c>
      <c r="C4" s="164"/>
      <c r="D4" s="164"/>
      <c r="E4" s="164">
        <f t="shared" ref="E4:E9" si="0">B4+C4</f>
        <v>4398.8100000000004</v>
      </c>
    </row>
    <row r="5" spans="1:5">
      <c r="A5" s="173" t="s">
        <v>194</v>
      </c>
      <c r="B5" s="164">
        <v>3850.64</v>
      </c>
      <c r="C5" s="164"/>
      <c r="D5" s="164"/>
      <c r="E5" s="164">
        <f t="shared" si="0"/>
        <v>3850.64</v>
      </c>
    </row>
    <row r="6" spans="1:5">
      <c r="A6" s="173" t="s">
        <v>195</v>
      </c>
      <c r="B6" s="164">
        <v>3027.94</v>
      </c>
      <c r="C6" s="164">
        <v>7755.45</v>
      </c>
      <c r="D6" s="164"/>
      <c r="E6" s="164">
        <f t="shared" si="0"/>
        <v>10783.39</v>
      </c>
    </row>
    <row r="7" spans="1:5">
      <c r="A7" s="173" t="s">
        <v>279</v>
      </c>
      <c r="B7" s="164">
        <v>1157.72</v>
      </c>
      <c r="C7" s="164">
        <v>0.78</v>
      </c>
      <c r="D7" s="164"/>
      <c r="E7" s="164">
        <f t="shared" si="0"/>
        <v>1158.5</v>
      </c>
    </row>
    <row r="8" spans="1:5">
      <c r="A8" s="164" t="s">
        <v>7</v>
      </c>
      <c r="B8" s="164">
        <v>0</v>
      </c>
      <c r="C8" s="164"/>
      <c r="D8" s="164"/>
      <c r="E8" s="164">
        <f t="shared" si="0"/>
        <v>0</v>
      </c>
    </row>
    <row r="9" spans="1:5">
      <c r="A9" s="173" t="s">
        <v>196</v>
      </c>
      <c r="B9" s="164">
        <v>12822.6</v>
      </c>
      <c r="C9" s="164"/>
      <c r="D9" s="164"/>
      <c r="E9" s="164">
        <f t="shared" si="0"/>
        <v>12822.6</v>
      </c>
    </row>
    <row r="10" spans="1:5">
      <c r="A10" s="173" t="s">
        <v>175</v>
      </c>
      <c r="B10" s="164"/>
      <c r="C10" s="164"/>
      <c r="D10" s="164">
        <v>6007.5</v>
      </c>
      <c r="E10" s="164">
        <f t="shared" ref="E10:E11" si="1">B10+C10</f>
        <v>0</v>
      </c>
    </row>
    <row r="11" spans="1:5">
      <c r="A11" s="173" t="s">
        <v>192</v>
      </c>
      <c r="B11" s="162"/>
      <c r="C11" s="164">
        <v>2606.67</v>
      </c>
      <c r="D11" s="164"/>
      <c r="E11" s="164">
        <f t="shared" si="1"/>
        <v>2606.67</v>
      </c>
    </row>
    <row r="12" spans="1:5">
      <c r="A12" s="163"/>
      <c r="B12" s="163">
        <f>SUM(B3:B11)</f>
        <v>80146.66</v>
      </c>
      <c r="C12" s="163">
        <f>SUM(C3:C11)</f>
        <v>13694.310000000001</v>
      </c>
      <c r="D12" s="163"/>
      <c r="E12" s="163">
        <f>SUM(E3:E11)</f>
        <v>87833.47</v>
      </c>
    </row>
    <row r="13" spans="1:5">
      <c r="A13" s="163"/>
      <c r="B13" s="163"/>
      <c r="C13" s="163"/>
      <c r="D13" s="163"/>
      <c r="E13" s="163">
        <f>B12+C12</f>
        <v>93840.97</v>
      </c>
    </row>
    <row r="14" spans="1:5">
      <c r="A14" s="163"/>
      <c r="B14" s="163"/>
      <c r="C14" s="163"/>
      <c r="D14" s="163"/>
      <c r="E14" s="163"/>
    </row>
    <row r="15" spans="1:5">
      <c r="A15" s="166"/>
      <c r="B15" s="167" t="s">
        <v>169</v>
      </c>
      <c r="C15" s="167" t="s">
        <v>173</v>
      </c>
      <c r="E15" s="163"/>
    </row>
    <row r="16" spans="1:5">
      <c r="A16" s="166" t="s">
        <v>164</v>
      </c>
      <c r="B16" s="164">
        <f>E3*0.7</f>
        <v>36549.002</v>
      </c>
      <c r="C16" s="164">
        <f>E3-B16</f>
        <v>15663.858</v>
      </c>
      <c r="D16" s="163">
        <f>B16+C16</f>
        <v>52212.86</v>
      </c>
    </row>
    <row r="17" spans="1:5">
      <c r="A17" s="166" t="s">
        <v>170</v>
      </c>
      <c r="B17" s="164">
        <f>E9*0.7</f>
        <v>8975.82</v>
      </c>
      <c r="C17" s="164">
        <f>E9-B17</f>
        <v>3846.7800000000007</v>
      </c>
      <c r="D17" s="163">
        <f>B17+C17</f>
        <v>12822.6</v>
      </c>
      <c r="E17" s="163"/>
    </row>
    <row r="18" spans="1:5">
      <c r="A18" s="164"/>
      <c r="B18" s="164">
        <f xml:space="preserve"> SUM(B16:B17)</f>
        <v>45524.822</v>
      </c>
      <c r="C18" s="164">
        <f xml:space="preserve"> SUM(C16:C17)</f>
        <v>19510.637999999999</v>
      </c>
      <c r="D18" s="163">
        <f>B18+C18</f>
        <v>65035.46</v>
      </c>
      <c r="E18" s="163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1"/>
  <sheetViews>
    <sheetView zoomScale="120" zoomScaleNormal="120" workbookViewId="0">
      <selection activeCell="E1" sqref="E1"/>
    </sheetView>
  </sheetViews>
  <sheetFormatPr defaultRowHeight="11.25"/>
  <cols>
    <col min="1" max="1" width="3" style="172" customWidth="1"/>
    <col min="2" max="2" width="39.7109375" style="172" customWidth="1"/>
    <col min="3" max="7" width="6.28515625" style="172" customWidth="1"/>
    <col min="8" max="8" width="11.140625" style="172" customWidth="1"/>
    <col min="9" max="16384" width="9.140625" style="172"/>
  </cols>
  <sheetData>
    <row r="1" spans="1:9" ht="99" customHeight="1" thickBot="1">
      <c r="A1" s="197"/>
      <c r="B1" s="198" t="s">
        <v>0</v>
      </c>
      <c r="C1" s="191" t="s">
        <v>185</v>
      </c>
      <c r="D1" s="191" t="s">
        <v>183</v>
      </c>
      <c r="E1" s="191" t="s">
        <v>184</v>
      </c>
      <c r="F1" s="191" t="s">
        <v>197</v>
      </c>
      <c r="G1" s="191" t="s">
        <v>198</v>
      </c>
      <c r="H1" s="191" t="s">
        <v>199</v>
      </c>
    </row>
    <row r="2" spans="1:9" ht="15" customHeight="1" thickBot="1">
      <c r="A2" s="199">
        <v>1</v>
      </c>
      <c r="B2" s="200" t="s">
        <v>179</v>
      </c>
      <c r="C2" s="201">
        <v>15</v>
      </c>
      <c r="D2" s="201">
        <v>3</v>
      </c>
      <c r="E2" s="202"/>
      <c r="F2" s="203">
        <f>C2*D2</f>
        <v>45</v>
      </c>
      <c r="G2" s="203">
        <v>38.5</v>
      </c>
      <c r="H2" s="225">
        <f>F2*G2</f>
        <v>1732.5</v>
      </c>
    </row>
    <row r="3" spans="1:9" ht="15" customHeight="1" thickBot="1">
      <c r="A3" s="199">
        <v>2</v>
      </c>
      <c r="B3" s="234" t="s">
        <v>286</v>
      </c>
      <c r="C3" s="201">
        <v>5</v>
      </c>
      <c r="D3" s="201">
        <v>3</v>
      </c>
      <c r="E3" s="202"/>
      <c r="F3" s="203">
        <f t="shared" ref="F3" si="0">C3*D3</f>
        <v>15</v>
      </c>
      <c r="G3" s="203">
        <v>19.25</v>
      </c>
      <c r="H3" s="225">
        <f t="shared" ref="H3" si="1">F3*G3</f>
        <v>288.75</v>
      </c>
    </row>
    <row r="4" spans="1:9" ht="15" customHeight="1" thickBot="1">
      <c r="A4" s="199">
        <v>3</v>
      </c>
      <c r="B4" s="234" t="s">
        <v>13</v>
      </c>
      <c r="C4" s="201">
        <v>10</v>
      </c>
      <c r="D4" s="201">
        <v>5</v>
      </c>
      <c r="E4" s="202"/>
      <c r="F4" s="203">
        <f t="shared" ref="F4:F11" si="2">C4*D4</f>
        <v>50</v>
      </c>
      <c r="G4" s="203">
        <v>38.5</v>
      </c>
      <c r="H4" s="225">
        <f t="shared" ref="H4:H44" si="3">F4*G4</f>
        <v>1925</v>
      </c>
    </row>
    <row r="5" spans="1:9" ht="15" customHeight="1" thickBot="1">
      <c r="A5" s="199">
        <v>4</v>
      </c>
      <c r="B5" s="200" t="s">
        <v>168</v>
      </c>
      <c r="C5" s="201">
        <v>11</v>
      </c>
      <c r="D5" s="201">
        <v>2</v>
      </c>
      <c r="E5" s="202"/>
      <c r="F5" s="203">
        <f t="shared" si="2"/>
        <v>22</v>
      </c>
      <c r="G5" s="203">
        <v>19.25</v>
      </c>
      <c r="H5" s="225">
        <f t="shared" si="3"/>
        <v>423.5</v>
      </c>
    </row>
    <row r="6" spans="1:9" ht="15" customHeight="1" thickBot="1">
      <c r="A6" s="199">
        <v>5</v>
      </c>
      <c r="B6" s="200" t="s">
        <v>191</v>
      </c>
      <c r="C6" s="201">
        <v>35</v>
      </c>
      <c r="D6" s="201">
        <v>1</v>
      </c>
      <c r="E6" s="202"/>
      <c r="F6" s="203">
        <f t="shared" si="2"/>
        <v>35</v>
      </c>
      <c r="G6" s="203">
        <v>19.25</v>
      </c>
      <c r="H6" s="225">
        <f t="shared" si="3"/>
        <v>673.75</v>
      </c>
    </row>
    <row r="7" spans="1:9" ht="15" customHeight="1" thickBot="1">
      <c r="A7" s="199">
        <v>6</v>
      </c>
      <c r="B7" s="200" t="s">
        <v>84</v>
      </c>
      <c r="C7" s="201">
        <v>10</v>
      </c>
      <c r="D7" s="201">
        <v>1</v>
      </c>
      <c r="E7" s="202"/>
      <c r="F7" s="203">
        <f t="shared" si="2"/>
        <v>10</v>
      </c>
      <c r="G7" s="203">
        <v>19.25</v>
      </c>
      <c r="H7" s="225">
        <f t="shared" si="3"/>
        <v>192.5</v>
      </c>
    </row>
    <row r="8" spans="1:9" ht="15" customHeight="1" thickBot="1">
      <c r="A8" s="172">
        <v>7</v>
      </c>
      <c r="B8" s="234" t="s">
        <v>89</v>
      </c>
      <c r="C8" s="201">
        <v>10</v>
      </c>
      <c r="D8" s="201">
        <v>1</v>
      </c>
      <c r="E8" s="202"/>
      <c r="F8" s="203">
        <f t="shared" si="2"/>
        <v>10</v>
      </c>
      <c r="G8" s="203">
        <v>19.25</v>
      </c>
      <c r="H8" s="225">
        <f t="shared" si="3"/>
        <v>192.5</v>
      </c>
    </row>
    <row r="9" spans="1:9" ht="15" customHeight="1" thickBot="1">
      <c r="A9" s="199">
        <v>8</v>
      </c>
      <c r="B9" s="234" t="s">
        <v>171</v>
      </c>
      <c r="C9" s="201">
        <v>9</v>
      </c>
      <c r="D9" s="201">
        <v>1</v>
      </c>
      <c r="E9" s="202"/>
      <c r="F9" s="203">
        <f>C9*D9</f>
        <v>9</v>
      </c>
      <c r="G9" s="203">
        <v>19.25</v>
      </c>
      <c r="H9" s="225">
        <f>F9*G9</f>
        <v>173.25</v>
      </c>
    </row>
    <row r="10" spans="1:9" s="245" customFormat="1" ht="15" customHeight="1" thickBot="1">
      <c r="A10" s="247"/>
      <c r="B10" s="246"/>
      <c r="C10" s="246"/>
      <c r="D10" s="246"/>
      <c r="E10" s="248"/>
      <c r="F10" s="246"/>
      <c r="G10" s="246"/>
      <c r="H10" s="246"/>
    </row>
    <row r="11" spans="1:9" ht="15" customHeight="1" thickBot="1">
      <c r="A11" s="199">
        <v>9</v>
      </c>
      <c r="B11" s="205" t="s">
        <v>289</v>
      </c>
      <c r="C11" s="201">
        <v>60</v>
      </c>
      <c r="D11" s="201">
        <v>1</v>
      </c>
      <c r="E11" s="202"/>
      <c r="F11" s="203">
        <f t="shared" si="2"/>
        <v>60</v>
      </c>
      <c r="G11" s="203">
        <v>38.5</v>
      </c>
      <c r="H11" s="225">
        <f t="shared" si="3"/>
        <v>2310</v>
      </c>
      <c r="I11" s="172" t="s">
        <v>287</v>
      </c>
    </row>
    <row r="12" spans="1:9" s="245" customFormat="1" ht="15" customHeight="1" thickBot="1">
      <c r="A12" s="247"/>
      <c r="B12" s="246"/>
      <c r="C12" s="246"/>
      <c r="D12" s="246"/>
      <c r="E12" s="248"/>
      <c r="F12" s="246"/>
      <c r="G12" s="246"/>
      <c r="H12" s="246"/>
    </row>
    <row r="13" spans="1:9" ht="15" customHeight="1" thickBot="1">
      <c r="A13" s="199">
        <v>10</v>
      </c>
      <c r="B13" s="206" t="s">
        <v>39</v>
      </c>
      <c r="C13" s="201">
        <v>19</v>
      </c>
      <c r="D13" s="202"/>
      <c r="E13" s="201">
        <v>17</v>
      </c>
      <c r="F13" s="203">
        <f>C13*E13</f>
        <v>323</v>
      </c>
      <c r="G13" s="203">
        <v>19.25</v>
      </c>
      <c r="H13" s="225">
        <f t="shared" si="3"/>
        <v>6217.75</v>
      </c>
    </row>
    <row r="14" spans="1:9" ht="15" customHeight="1" thickBot="1">
      <c r="A14" s="299">
        <v>11</v>
      </c>
      <c r="B14" s="206" t="s">
        <v>40</v>
      </c>
      <c r="C14" s="308"/>
      <c r="D14" s="309"/>
      <c r="E14" s="309"/>
      <c r="F14" s="309"/>
      <c r="G14" s="310"/>
      <c r="H14" s="225">
        <f>SUM(H15:H17)</f>
        <v>10260.25</v>
      </c>
    </row>
    <row r="15" spans="1:9" ht="15" customHeight="1" thickBot="1">
      <c r="A15" s="300"/>
      <c r="B15" s="208" t="s">
        <v>30</v>
      </c>
      <c r="C15" s="201">
        <v>11</v>
      </c>
      <c r="D15" s="202"/>
      <c r="E15" s="201">
        <v>33</v>
      </c>
      <c r="F15" s="203">
        <f t="shared" ref="F15:F17" si="4">C15*E15</f>
        <v>363</v>
      </c>
      <c r="G15" s="203">
        <v>19.25</v>
      </c>
      <c r="H15" s="225">
        <f t="shared" si="3"/>
        <v>6987.75</v>
      </c>
    </row>
    <row r="16" spans="1:9" ht="15" customHeight="1" thickBot="1">
      <c r="A16" s="300"/>
      <c r="B16" s="208" t="s">
        <v>174</v>
      </c>
      <c r="C16" s="201">
        <v>17</v>
      </c>
      <c r="D16" s="202"/>
      <c r="E16" s="201">
        <v>1</v>
      </c>
      <c r="F16" s="203">
        <f t="shared" si="4"/>
        <v>17</v>
      </c>
      <c r="G16" s="203">
        <v>19.25</v>
      </c>
      <c r="H16" s="225">
        <f t="shared" si="3"/>
        <v>327.25</v>
      </c>
    </row>
    <row r="17" spans="1:8" ht="15" customHeight="1" thickBot="1">
      <c r="A17" s="301"/>
      <c r="B17" s="208" t="s">
        <v>28</v>
      </c>
      <c r="C17" s="201">
        <v>9</v>
      </c>
      <c r="D17" s="202"/>
      <c r="E17" s="201">
        <v>17</v>
      </c>
      <c r="F17" s="203">
        <f t="shared" si="4"/>
        <v>153</v>
      </c>
      <c r="G17" s="203">
        <v>19.25</v>
      </c>
      <c r="H17" s="225">
        <f t="shared" si="3"/>
        <v>2945.25</v>
      </c>
    </row>
    <row r="18" spans="1:8" ht="15" customHeight="1" thickBot="1">
      <c r="A18" s="199">
        <v>12</v>
      </c>
      <c r="B18" s="206" t="s">
        <v>180</v>
      </c>
      <c r="C18" s="201">
        <v>34</v>
      </c>
      <c r="D18" s="201">
        <v>1</v>
      </c>
      <c r="E18" s="202"/>
      <c r="F18" s="203">
        <f t="shared" ref="F18:F44" si="5">C18*D18</f>
        <v>34</v>
      </c>
      <c r="G18" s="203">
        <v>19.25</v>
      </c>
      <c r="H18" s="225">
        <f t="shared" si="3"/>
        <v>654.5</v>
      </c>
    </row>
    <row r="19" spans="1:8" ht="15" customHeight="1" thickBot="1">
      <c r="A19" s="199">
        <v>13</v>
      </c>
      <c r="B19" s="206" t="s">
        <v>105</v>
      </c>
      <c r="C19" s="201">
        <v>190</v>
      </c>
      <c r="D19" s="201">
        <v>1</v>
      </c>
      <c r="E19" s="202"/>
      <c r="F19" s="203">
        <f t="shared" si="5"/>
        <v>190</v>
      </c>
      <c r="G19" s="203">
        <v>19.25</v>
      </c>
      <c r="H19" s="225">
        <f t="shared" si="3"/>
        <v>3657.5</v>
      </c>
    </row>
    <row r="20" spans="1:8" ht="15" customHeight="1" thickBot="1">
      <c r="A20" s="199">
        <v>14</v>
      </c>
      <c r="B20" s="206" t="s">
        <v>227</v>
      </c>
      <c r="C20" s="201">
        <v>44</v>
      </c>
      <c r="D20" s="201">
        <v>1</v>
      </c>
      <c r="E20" s="202"/>
      <c r="F20" s="203">
        <f t="shared" si="5"/>
        <v>44</v>
      </c>
      <c r="G20" s="203">
        <v>19.25</v>
      </c>
      <c r="H20" s="204">
        <f t="shared" si="3"/>
        <v>847</v>
      </c>
    </row>
    <row r="21" spans="1:8" ht="15" customHeight="1" thickBot="1">
      <c r="A21" s="199">
        <v>15</v>
      </c>
      <c r="B21" s="206" t="s">
        <v>248</v>
      </c>
      <c r="C21" s="201">
        <v>5</v>
      </c>
      <c r="D21" s="201">
        <v>4</v>
      </c>
      <c r="E21" s="202"/>
      <c r="F21" s="203">
        <f t="shared" si="5"/>
        <v>20</v>
      </c>
      <c r="G21" s="203">
        <v>19.25</v>
      </c>
      <c r="H21" s="204">
        <f t="shared" si="3"/>
        <v>385</v>
      </c>
    </row>
    <row r="22" spans="1:8" ht="15" customHeight="1" thickBot="1">
      <c r="A22" s="199">
        <v>16</v>
      </c>
      <c r="B22" s="206" t="s">
        <v>186</v>
      </c>
      <c r="C22" s="201">
        <v>5</v>
      </c>
      <c r="D22" s="201">
        <v>3</v>
      </c>
      <c r="E22" s="202"/>
      <c r="F22" s="203">
        <f t="shared" si="5"/>
        <v>15</v>
      </c>
      <c r="G22" s="203">
        <v>19.25</v>
      </c>
      <c r="H22" s="204">
        <f t="shared" si="3"/>
        <v>288.75</v>
      </c>
    </row>
    <row r="23" spans="1:8" ht="15" customHeight="1" thickBot="1">
      <c r="A23" s="199">
        <v>17</v>
      </c>
      <c r="B23" s="206" t="s">
        <v>181</v>
      </c>
      <c r="C23" s="201">
        <v>7</v>
      </c>
      <c r="D23" s="201">
        <v>17</v>
      </c>
      <c r="E23" s="202"/>
      <c r="F23" s="203">
        <f t="shared" si="5"/>
        <v>119</v>
      </c>
      <c r="G23" s="203">
        <v>19.25</v>
      </c>
      <c r="H23" s="225">
        <f t="shared" si="3"/>
        <v>2290.75</v>
      </c>
    </row>
    <row r="24" spans="1:8" ht="15" customHeight="1" thickBot="1">
      <c r="A24" s="199">
        <v>18</v>
      </c>
      <c r="B24" s="206" t="s">
        <v>288</v>
      </c>
      <c r="C24" s="201">
        <v>2</v>
      </c>
      <c r="D24" s="201">
        <v>8</v>
      </c>
      <c r="E24" s="202"/>
      <c r="F24" s="203">
        <f t="shared" si="5"/>
        <v>16</v>
      </c>
      <c r="G24" s="203">
        <v>19.25</v>
      </c>
      <c r="H24" s="225">
        <f t="shared" si="3"/>
        <v>308</v>
      </c>
    </row>
    <row r="25" spans="1:8" ht="15" customHeight="1" thickBot="1">
      <c r="A25" s="199">
        <v>19</v>
      </c>
      <c r="B25" s="206" t="s">
        <v>249</v>
      </c>
      <c r="C25" s="201">
        <v>40</v>
      </c>
      <c r="D25" s="201">
        <v>2</v>
      </c>
      <c r="E25" s="202"/>
      <c r="F25" s="203">
        <v>40</v>
      </c>
      <c r="G25" s="203">
        <v>19.25</v>
      </c>
      <c r="H25" s="225">
        <f t="shared" si="3"/>
        <v>770</v>
      </c>
    </row>
    <row r="26" spans="1:8" ht="15" customHeight="1" thickBot="1">
      <c r="A26" s="199">
        <v>20</v>
      </c>
      <c r="B26" s="206" t="s">
        <v>177</v>
      </c>
      <c r="C26" s="201">
        <v>10</v>
      </c>
      <c r="D26" s="201">
        <v>12</v>
      </c>
      <c r="E26" s="202"/>
      <c r="F26" s="203">
        <f t="shared" si="5"/>
        <v>120</v>
      </c>
      <c r="G26" s="203">
        <v>19.25</v>
      </c>
      <c r="H26" s="225">
        <f t="shared" si="3"/>
        <v>2310</v>
      </c>
    </row>
    <row r="27" spans="1:8" ht="15" customHeight="1" thickBot="1">
      <c r="A27" s="199">
        <v>21</v>
      </c>
      <c r="B27" s="206" t="s">
        <v>250</v>
      </c>
      <c r="C27" s="201">
        <v>44</v>
      </c>
      <c r="D27" s="201">
        <v>2</v>
      </c>
      <c r="E27" s="202"/>
      <c r="F27" s="203">
        <f t="shared" si="5"/>
        <v>88</v>
      </c>
      <c r="G27" s="203">
        <v>19.25</v>
      </c>
      <c r="H27" s="225">
        <f t="shared" si="3"/>
        <v>1694</v>
      </c>
    </row>
    <row r="28" spans="1:8" ht="15" customHeight="1" thickBot="1">
      <c r="A28" s="199">
        <v>22</v>
      </c>
      <c r="B28" s="206" t="s">
        <v>167</v>
      </c>
      <c r="C28" s="201">
        <v>33</v>
      </c>
      <c r="D28" s="201">
        <v>1</v>
      </c>
      <c r="E28" s="202"/>
      <c r="F28" s="203">
        <f t="shared" si="5"/>
        <v>33</v>
      </c>
      <c r="G28" s="203">
        <v>19.25</v>
      </c>
      <c r="H28" s="225">
        <f t="shared" si="3"/>
        <v>635.25</v>
      </c>
    </row>
    <row r="29" spans="1:8" ht="15" customHeight="1" thickBot="1">
      <c r="A29" s="199">
        <v>23</v>
      </c>
      <c r="B29" s="206" t="s">
        <v>182</v>
      </c>
      <c r="C29" s="201">
        <v>27</v>
      </c>
      <c r="D29" s="201">
        <v>1</v>
      </c>
      <c r="E29" s="202"/>
      <c r="F29" s="203">
        <f>C29*D29</f>
        <v>27</v>
      </c>
      <c r="G29" s="203">
        <v>19.25</v>
      </c>
      <c r="H29" s="225">
        <f>F29*G29</f>
        <v>519.75</v>
      </c>
    </row>
    <row r="30" spans="1:8" ht="12" thickBot="1"/>
    <row r="31" spans="1:8" ht="15" customHeight="1" thickBot="1">
      <c r="A31" s="228">
        <v>24</v>
      </c>
      <c r="B31" s="244" t="s">
        <v>200</v>
      </c>
      <c r="C31" s="241">
        <v>6</v>
      </c>
      <c r="D31" s="241">
        <v>10</v>
      </c>
      <c r="E31" s="197"/>
      <c r="F31" s="242">
        <f t="shared" si="5"/>
        <v>60</v>
      </c>
      <c r="G31" s="242">
        <v>19.25</v>
      </c>
      <c r="H31" s="243">
        <f t="shared" si="3"/>
        <v>1155</v>
      </c>
    </row>
    <row r="32" spans="1:8" ht="15" customHeight="1" thickBot="1">
      <c r="A32" s="229">
        <v>25</v>
      </c>
      <c r="B32" s="244" t="s">
        <v>264</v>
      </c>
      <c r="C32" s="241">
        <v>2</v>
      </c>
      <c r="D32" s="241">
        <v>16</v>
      </c>
      <c r="E32" s="197"/>
      <c r="F32" s="242">
        <f>C32*D32</f>
        <v>32</v>
      </c>
      <c r="G32" s="242">
        <v>19.25</v>
      </c>
      <c r="H32" s="243">
        <f>F32*G32</f>
        <v>616</v>
      </c>
    </row>
    <row r="33" spans="1:8" ht="15" customHeight="1" thickBot="1">
      <c r="A33" s="230">
        <v>26</v>
      </c>
      <c r="B33" s="244" t="s">
        <v>285</v>
      </c>
      <c r="C33" s="241"/>
      <c r="D33" s="241"/>
      <c r="E33" s="197"/>
      <c r="F33" s="242"/>
      <c r="G33" s="242"/>
      <c r="H33" s="243"/>
    </row>
    <row r="34" spans="1:8" ht="12" thickBot="1"/>
    <row r="35" spans="1:8" ht="15" customHeight="1" thickBot="1">
      <c r="A35" s="239">
        <v>26</v>
      </c>
      <c r="B35" s="243" t="s">
        <v>187</v>
      </c>
      <c r="C35" s="241">
        <v>9</v>
      </c>
      <c r="D35" s="241">
        <v>2</v>
      </c>
      <c r="E35" s="197"/>
      <c r="F35" s="242">
        <f t="shared" si="5"/>
        <v>18</v>
      </c>
      <c r="G35" s="242">
        <v>19.25</v>
      </c>
      <c r="H35" s="243">
        <f t="shared" si="3"/>
        <v>346.5</v>
      </c>
    </row>
    <row r="36" spans="1:8" ht="15" customHeight="1" thickBot="1">
      <c r="A36" s="199">
        <v>28</v>
      </c>
      <c r="B36" s="225" t="s">
        <v>251</v>
      </c>
      <c r="C36" s="201">
        <v>15</v>
      </c>
      <c r="D36" s="201">
        <v>2</v>
      </c>
      <c r="E36" s="202"/>
      <c r="F36" s="203">
        <f t="shared" si="5"/>
        <v>30</v>
      </c>
      <c r="G36" s="203">
        <v>19.25</v>
      </c>
      <c r="H36" s="225">
        <f t="shared" si="3"/>
        <v>577.5</v>
      </c>
    </row>
    <row r="37" spans="1:8" s="235" customFormat="1" ht="15" customHeight="1" thickBot="1">
      <c r="A37" s="236"/>
      <c r="B37" s="237"/>
      <c r="C37" s="237"/>
      <c r="D37" s="237"/>
      <c r="E37" s="238"/>
      <c r="F37" s="237"/>
      <c r="G37" s="237"/>
      <c r="H37" s="237"/>
    </row>
    <row r="38" spans="1:8" ht="15" customHeight="1" thickBot="1">
      <c r="A38" s="199">
        <v>29</v>
      </c>
      <c r="B38" s="209" t="s">
        <v>284</v>
      </c>
      <c r="C38" s="201">
        <v>25</v>
      </c>
      <c r="D38" s="201">
        <v>1</v>
      </c>
      <c r="E38" s="202"/>
      <c r="F38" s="203">
        <f t="shared" si="5"/>
        <v>25</v>
      </c>
      <c r="G38" s="203">
        <v>19.25</v>
      </c>
      <c r="H38" s="225">
        <f t="shared" si="3"/>
        <v>481.25</v>
      </c>
    </row>
    <row r="39" spans="1:8" ht="12" thickBot="1"/>
    <row r="40" spans="1:8" ht="15" customHeight="1" thickBot="1">
      <c r="A40" s="239">
        <v>30</v>
      </c>
      <c r="B40" s="240" t="s">
        <v>281</v>
      </c>
      <c r="C40" s="241"/>
      <c r="D40" s="241"/>
      <c r="E40" s="197"/>
      <c r="F40" s="242"/>
      <c r="G40" s="242"/>
      <c r="H40" s="243"/>
    </row>
    <row r="41" spans="1:8" ht="15" customHeight="1" thickBot="1">
      <c r="A41" s="199">
        <v>31</v>
      </c>
      <c r="B41" s="233" t="s">
        <v>202</v>
      </c>
      <c r="C41" s="201">
        <v>5</v>
      </c>
      <c r="D41" s="201">
        <v>6</v>
      </c>
      <c r="E41" s="202"/>
      <c r="F41" s="203">
        <f>C41*D41</f>
        <v>30</v>
      </c>
      <c r="G41" s="203">
        <v>19.25</v>
      </c>
      <c r="H41" s="204">
        <f>F41*G41</f>
        <v>577.5</v>
      </c>
    </row>
    <row r="42" spans="1:8" ht="15" customHeight="1" thickBot="1">
      <c r="A42" s="199">
        <v>32</v>
      </c>
      <c r="B42" s="209" t="s">
        <v>201</v>
      </c>
      <c r="C42" s="201">
        <v>22</v>
      </c>
      <c r="D42" s="201">
        <v>3</v>
      </c>
      <c r="E42" s="202"/>
      <c r="F42" s="203">
        <f>C42*D42</f>
        <v>66</v>
      </c>
      <c r="G42" s="203">
        <v>19.25</v>
      </c>
      <c r="H42" s="225">
        <f>F42*G42</f>
        <v>1270.5</v>
      </c>
    </row>
    <row r="43" spans="1:8" ht="15" customHeight="1" thickBot="1">
      <c r="A43" s="199">
        <v>33</v>
      </c>
      <c r="B43" s="209" t="s">
        <v>282</v>
      </c>
      <c r="C43" s="201">
        <v>10</v>
      </c>
      <c r="D43" s="201">
        <v>1</v>
      </c>
      <c r="E43" s="202"/>
      <c r="F43" s="203">
        <f>C43*D43</f>
        <v>10</v>
      </c>
      <c r="G43" s="203">
        <v>19.25</v>
      </c>
      <c r="H43" s="225">
        <f>F43*G43</f>
        <v>192.5</v>
      </c>
    </row>
    <row r="44" spans="1:8" ht="15" customHeight="1" thickBot="1">
      <c r="A44" s="199">
        <v>34</v>
      </c>
      <c r="B44" s="209" t="s">
        <v>283</v>
      </c>
      <c r="C44" s="201">
        <v>9</v>
      </c>
      <c r="D44" s="201">
        <v>6</v>
      </c>
      <c r="E44" s="202"/>
      <c r="F44" s="203">
        <f t="shared" si="5"/>
        <v>54</v>
      </c>
      <c r="G44" s="203">
        <v>19.25</v>
      </c>
      <c r="H44" s="225">
        <f t="shared" si="3"/>
        <v>1039.5</v>
      </c>
    </row>
    <row r="45" spans="1:8" ht="12" thickBot="1"/>
    <row r="46" spans="1:8" ht="15" customHeight="1" thickBot="1">
      <c r="A46" s="197"/>
      <c r="B46" s="302" t="s">
        <v>97</v>
      </c>
      <c r="C46" s="303"/>
      <c r="D46" s="303"/>
      <c r="E46" s="303"/>
      <c r="F46" s="303"/>
      <c r="G46" s="304"/>
      <c r="H46" s="210">
        <f>SUM(H2:H44)-H15-H16-H17</f>
        <v>45006.5</v>
      </c>
    </row>
    <row r="47" spans="1:8" ht="15" customHeight="1" thickBot="1">
      <c r="A47" s="207"/>
      <c r="B47" s="302" t="s">
        <v>98</v>
      </c>
      <c r="C47" s="303"/>
      <c r="D47" s="303"/>
      <c r="E47" s="303"/>
      <c r="F47" s="303"/>
      <c r="G47" s="304"/>
      <c r="H47" s="210">
        <f>'MOF 25-26'!B18</f>
        <v>45524.822</v>
      </c>
    </row>
    <row r="48" spans="1:8" ht="15" customHeight="1" thickBot="1">
      <c r="A48" s="207"/>
      <c r="B48" s="302" t="s">
        <v>252</v>
      </c>
      <c r="C48" s="303"/>
      <c r="D48" s="303"/>
      <c r="E48" s="303"/>
      <c r="F48" s="303"/>
      <c r="G48" s="304"/>
      <c r="H48" s="210">
        <f>H47-H46</f>
        <v>518.32200000000012</v>
      </c>
    </row>
    <row r="49" spans="1:8" ht="15" customHeight="1" thickBot="1">
      <c r="A49" s="207"/>
      <c r="B49" s="305" t="s">
        <v>96</v>
      </c>
      <c r="C49" s="306"/>
      <c r="D49" s="306"/>
      <c r="E49" s="306"/>
      <c r="F49" s="306"/>
      <c r="G49" s="307"/>
      <c r="H49" s="211">
        <f>H46/H47</f>
        <v>0.98861451891014529</v>
      </c>
    </row>
    <row r="51" spans="1:8">
      <c r="A51" s="176"/>
      <c r="B51" s="176"/>
      <c r="C51" s="176"/>
      <c r="D51" s="176"/>
      <c r="E51" s="176"/>
      <c r="F51" s="176"/>
      <c r="G51" s="176"/>
      <c r="H51" s="176"/>
    </row>
  </sheetData>
  <mergeCells count="6">
    <mergeCell ref="A14:A17"/>
    <mergeCell ref="B48:G48"/>
    <mergeCell ref="B49:G49"/>
    <mergeCell ref="B47:G47"/>
    <mergeCell ref="B46:G46"/>
    <mergeCell ref="C14:G14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G31" sqref="G31"/>
    </sheetView>
  </sheetViews>
  <sheetFormatPr defaultRowHeight="18.75"/>
  <cols>
    <col min="1" max="1" width="5.5703125" style="175" customWidth="1"/>
    <col min="2" max="2" width="42.5703125" style="175" customWidth="1"/>
    <col min="3" max="3" width="7.7109375" style="175" customWidth="1"/>
    <col min="4" max="4" width="9.140625" style="175"/>
    <col min="5" max="5" width="12.42578125" style="175" customWidth="1"/>
    <col min="6" max="6" width="12.7109375" style="175" customWidth="1"/>
    <col min="7" max="7" width="11.5703125" style="175" customWidth="1"/>
    <col min="8" max="8" width="15.28515625" style="175" customWidth="1"/>
    <col min="9" max="9" width="11.7109375" style="175" bestFit="1" customWidth="1"/>
    <col min="10" max="10" width="9.7109375" style="175" bestFit="1" customWidth="1"/>
    <col min="11" max="16" width="9.140625" style="175"/>
    <col min="17" max="17" width="50.28515625" style="175" customWidth="1"/>
    <col min="18" max="16384" width="9.140625" style="175"/>
  </cols>
  <sheetData>
    <row r="1" spans="1:9" ht="90.75" customHeight="1" thickBot="1">
      <c r="A1" s="313" t="s">
        <v>203</v>
      </c>
      <c r="B1" s="314"/>
      <c r="C1" s="178" t="s">
        <v>204</v>
      </c>
      <c r="D1" s="178" t="s">
        <v>205</v>
      </c>
      <c r="E1" s="178" t="s">
        <v>231</v>
      </c>
      <c r="F1" s="178" t="s">
        <v>206</v>
      </c>
      <c r="G1" s="179" t="s">
        <v>207</v>
      </c>
    </row>
    <row r="2" spans="1:9" ht="19.5" thickBot="1">
      <c r="A2" s="181">
        <v>1</v>
      </c>
      <c r="B2" s="182" t="s">
        <v>208</v>
      </c>
      <c r="C2" s="183">
        <v>7</v>
      </c>
      <c r="D2" s="183" t="s">
        <v>209</v>
      </c>
      <c r="E2" s="183">
        <v>64</v>
      </c>
      <c r="F2" s="182">
        <v>15.95</v>
      </c>
      <c r="G2" s="184">
        <f>E2*F2</f>
        <v>1020.8</v>
      </c>
    </row>
    <row r="3" spans="1:9" ht="19.5" thickBot="1">
      <c r="A3" s="181">
        <v>2</v>
      </c>
      <c r="B3" s="182" t="s">
        <v>210</v>
      </c>
      <c r="C3" s="183">
        <v>2</v>
      </c>
      <c r="D3" s="183" t="s">
        <v>209</v>
      </c>
      <c r="E3" s="183">
        <v>40</v>
      </c>
      <c r="F3" s="182">
        <v>15.95</v>
      </c>
      <c r="G3" s="184">
        <f t="shared" ref="G3:G11" si="0">E3*F3</f>
        <v>638</v>
      </c>
    </row>
    <row r="4" spans="1:9" ht="19.5" thickBot="1">
      <c r="A4" s="181">
        <v>3</v>
      </c>
      <c r="B4" s="182" t="s">
        <v>232</v>
      </c>
      <c r="C4" s="183">
        <v>1</v>
      </c>
      <c r="D4" s="183">
        <v>50</v>
      </c>
      <c r="E4" s="183">
        <v>50</v>
      </c>
      <c r="F4" s="182">
        <v>15.95</v>
      </c>
      <c r="G4" s="184">
        <f t="shared" si="0"/>
        <v>797.5</v>
      </c>
    </row>
    <row r="5" spans="1:9" ht="19.5" thickBot="1">
      <c r="A5" s="181">
        <v>4</v>
      </c>
      <c r="B5" s="182" t="s">
        <v>233</v>
      </c>
      <c r="C5" s="183">
        <v>1</v>
      </c>
      <c r="D5" s="183">
        <v>25</v>
      </c>
      <c r="E5" s="183">
        <v>25</v>
      </c>
      <c r="F5" s="182">
        <v>15.95</v>
      </c>
      <c r="G5" s="184">
        <f t="shared" si="0"/>
        <v>398.75</v>
      </c>
    </row>
    <row r="6" spans="1:9" ht="19.5" thickBot="1">
      <c r="A6" s="181">
        <v>5</v>
      </c>
      <c r="B6" s="182" t="s">
        <v>211</v>
      </c>
      <c r="C6" s="183">
        <v>1</v>
      </c>
      <c r="D6" s="183">
        <v>25</v>
      </c>
      <c r="E6" s="183">
        <v>25</v>
      </c>
      <c r="F6" s="182">
        <v>15.95</v>
      </c>
      <c r="G6" s="184">
        <f t="shared" si="0"/>
        <v>398.75</v>
      </c>
    </row>
    <row r="7" spans="1:9" ht="19.5" thickBot="1">
      <c r="A7" s="185">
        <v>6</v>
      </c>
      <c r="B7" s="182" t="s">
        <v>212</v>
      </c>
      <c r="C7" s="183">
        <v>2</v>
      </c>
      <c r="D7" s="183">
        <v>25</v>
      </c>
      <c r="E7" s="183">
        <v>50</v>
      </c>
      <c r="F7" s="182">
        <v>15.95</v>
      </c>
      <c r="G7" s="184">
        <f t="shared" si="0"/>
        <v>797.5</v>
      </c>
    </row>
    <row r="8" spans="1:9" ht="19.5" thickBot="1">
      <c r="A8" s="181">
        <v>7</v>
      </c>
      <c r="B8" s="186" t="s">
        <v>234</v>
      </c>
      <c r="C8" s="183">
        <v>1</v>
      </c>
      <c r="D8" s="183">
        <v>15</v>
      </c>
      <c r="E8" s="183">
        <v>15</v>
      </c>
      <c r="F8" s="182">
        <v>15.95</v>
      </c>
      <c r="G8" s="184">
        <f t="shared" si="0"/>
        <v>239.25</v>
      </c>
    </row>
    <row r="9" spans="1:9" ht="19.5" thickBot="1">
      <c r="A9" s="181">
        <v>8</v>
      </c>
      <c r="B9" s="182" t="s">
        <v>213</v>
      </c>
      <c r="C9" s="183">
        <v>1</v>
      </c>
      <c r="D9" s="183">
        <v>28</v>
      </c>
      <c r="E9" s="183">
        <v>28</v>
      </c>
      <c r="F9" s="182">
        <v>15.95</v>
      </c>
      <c r="G9" s="184">
        <f t="shared" si="0"/>
        <v>446.59999999999997</v>
      </c>
    </row>
    <row r="10" spans="1:9" ht="19.5" thickBot="1">
      <c r="A10" s="181">
        <v>9</v>
      </c>
      <c r="B10" s="182" t="s">
        <v>214</v>
      </c>
      <c r="C10" s="183">
        <v>1</v>
      </c>
      <c r="D10" s="183">
        <v>50</v>
      </c>
      <c r="E10" s="183">
        <v>50</v>
      </c>
      <c r="F10" s="182">
        <v>15.95</v>
      </c>
      <c r="G10" s="184">
        <f t="shared" si="0"/>
        <v>797.5</v>
      </c>
    </row>
    <row r="11" spans="1:9" ht="19.5" thickBot="1">
      <c r="A11" s="185">
        <v>10</v>
      </c>
      <c r="B11" s="182" t="s">
        <v>215</v>
      </c>
      <c r="C11" s="183">
        <v>1</v>
      </c>
      <c r="D11" s="183">
        <v>20</v>
      </c>
      <c r="E11" s="183">
        <v>20</v>
      </c>
      <c r="F11" s="182">
        <v>15.95</v>
      </c>
      <c r="G11" s="184">
        <f t="shared" si="0"/>
        <v>319</v>
      </c>
      <c r="H11" s="192"/>
    </row>
    <row r="12" spans="1:9" ht="19.5" thickBot="1">
      <c r="A12" s="181"/>
      <c r="B12" s="182" t="s">
        <v>216</v>
      </c>
      <c r="C12" s="183"/>
      <c r="D12" s="183"/>
      <c r="E12" s="183">
        <f>SUM(E2:E11)</f>
        <v>367</v>
      </c>
      <c r="F12" s="182"/>
      <c r="G12" s="184">
        <f>SUM(G2:G11)</f>
        <v>5853.6500000000005</v>
      </c>
    </row>
    <row r="13" spans="1:9" ht="19.5" thickBot="1">
      <c r="A13" s="181"/>
      <c r="B13" s="182"/>
      <c r="C13" s="311" t="s">
        <v>244</v>
      </c>
      <c r="D13" s="312"/>
      <c r="E13" s="312"/>
      <c r="F13" s="312"/>
      <c r="G13" s="190">
        <f>G12/E34</f>
        <v>1.0000783504192261</v>
      </c>
      <c r="I13" s="190"/>
    </row>
    <row r="14" spans="1:9" ht="19.5" thickBot="1">
      <c r="A14" s="181"/>
      <c r="B14" s="182" t="s">
        <v>217</v>
      </c>
      <c r="C14" s="183">
        <v>7</v>
      </c>
      <c r="D14" s="183" t="s">
        <v>218</v>
      </c>
      <c r="E14" s="183">
        <f>G14/F14</f>
        <v>72.425830721003138</v>
      </c>
      <c r="F14" s="182">
        <v>15.95</v>
      </c>
      <c r="G14" s="184">
        <f>'MOF 25-26'!B5*0.3</f>
        <v>1155.192</v>
      </c>
    </row>
    <row r="15" spans="1:9" ht="102" customHeight="1" thickBot="1">
      <c r="A15" s="315" t="s">
        <v>219</v>
      </c>
      <c r="B15" s="316"/>
      <c r="C15" s="178" t="s">
        <v>204</v>
      </c>
      <c r="D15" s="178" t="s">
        <v>205</v>
      </c>
      <c r="E15" s="178" t="s">
        <v>231</v>
      </c>
      <c r="F15" s="178" t="s">
        <v>206</v>
      </c>
      <c r="G15" s="179" t="s">
        <v>207</v>
      </c>
    </row>
    <row r="16" spans="1:9" ht="19.5" thickBot="1">
      <c r="A16" s="181">
        <v>1</v>
      </c>
      <c r="B16" s="182" t="s">
        <v>220</v>
      </c>
      <c r="C16" s="183">
        <v>20</v>
      </c>
      <c r="D16" s="183" t="s">
        <v>209</v>
      </c>
      <c r="E16" s="183">
        <v>180</v>
      </c>
      <c r="F16" s="182">
        <v>13.75</v>
      </c>
      <c r="G16" s="184">
        <f>E16*F16</f>
        <v>2475</v>
      </c>
      <c r="I16" s="367"/>
    </row>
    <row r="17" spans="1:9" ht="32.25" thickBot="1">
      <c r="A17" s="181">
        <v>2</v>
      </c>
      <c r="B17" s="182" t="s">
        <v>235</v>
      </c>
      <c r="C17" s="183" t="s">
        <v>221</v>
      </c>
      <c r="D17" s="183" t="s">
        <v>209</v>
      </c>
      <c r="E17" s="183">
        <v>142</v>
      </c>
      <c r="F17" s="182">
        <v>13.75</v>
      </c>
      <c r="G17" s="184">
        <f t="shared" ref="G17:G22" si="1">E17*F17</f>
        <v>1952.5</v>
      </c>
      <c r="I17" s="367"/>
    </row>
    <row r="18" spans="1:9" ht="32.25" thickBot="1">
      <c r="A18" s="181">
        <v>3</v>
      </c>
      <c r="B18" s="182" t="s">
        <v>236</v>
      </c>
      <c r="C18" s="183">
        <v>15</v>
      </c>
      <c r="D18" s="183" t="s">
        <v>209</v>
      </c>
      <c r="E18" s="183">
        <v>240</v>
      </c>
      <c r="F18" s="182">
        <v>13.75</v>
      </c>
      <c r="G18" s="184">
        <f t="shared" si="1"/>
        <v>3300</v>
      </c>
      <c r="I18" s="367"/>
    </row>
    <row r="19" spans="1:9" ht="19.5" thickBot="1">
      <c r="A19" s="181">
        <v>4</v>
      </c>
      <c r="B19" s="182" t="s">
        <v>222</v>
      </c>
      <c r="C19" s="183">
        <v>1</v>
      </c>
      <c r="D19" s="183">
        <v>6</v>
      </c>
      <c r="E19" s="183">
        <v>6</v>
      </c>
      <c r="F19" s="182">
        <v>13.75</v>
      </c>
      <c r="G19" s="184">
        <f t="shared" si="1"/>
        <v>82.5</v>
      </c>
      <c r="I19" s="368"/>
    </row>
    <row r="20" spans="1:9" ht="19.5" thickBot="1">
      <c r="A20" s="181">
        <v>5</v>
      </c>
      <c r="B20" s="182" t="s">
        <v>223</v>
      </c>
      <c r="C20" s="183">
        <v>2</v>
      </c>
      <c r="D20" s="183">
        <v>12</v>
      </c>
      <c r="E20" s="183">
        <v>24</v>
      </c>
      <c r="F20" s="182">
        <v>13.75</v>
      </c>
      <c r="G20" s="184">
        <f t="shared" si="1"/>
        <v>330</v>
      </c>
      <c r="I20" s="368"/>
    </row>
    <row r="21" spans="1:9" ht="19.5" thickBot="1">
      <c r="A21" s="181">
        <v>6</v>
      </c>
      <c r="B21" s="182" t="s">
        <v>237</v>
      </c>
      <c r="C21" s="183">
        <v>26</v>
      </c>
      <c r="D21" s="183">
        <v>7</v>
      </c>
      <c r="E21" s="183">
        <f>C21*D21</f>
        <v>182</v>
      </c>
      <c r="F21" s="182">
        <v>13.75</v>
      </c>
      <c r="G21" s="184">
        <f t="shared" si="1"/>
        <v>2502.5</v>
      </c>
      <c r="I21" s="367"/>
    </row>
    <row r="22" spans="1:9" ht="19.5" thickBot="1">
      <c r="A22" s="181">
        <v>7</v>
      </c>
      <c r="B22" s="182" t="s">
        <v>238</v>
      </c>
      <c r="C22" s="183" t="s">
        <v>224</v>
      </c>
      <c r="D22" s="183" t="s">
        <v>209</v>
      </c>
      <c r="E22" s="183">
        <v>150</v>
      </c>
      <c r="F22" s="182">
        <v>13.75</v>
      </c>
      <c r="G22" s="184">
        <f t="shared" si="1"/>
        <v>2062.5</v>
      </c>
      <c r="I22" s="368"/>
    </row>
    <row r="23" spans="1:9" ht="19.5" thickBot="1">
      <c r="A23" s="181"/>
      <c r="B23" s="182" t="s">
        <v>245</v>
      </c>
      <c r="C23" s="183">
        <v>10</v>
      </c>
      <c r="D23" s="183">
        <v>5</v>
      </c>
      <c r="E23" s="183">
        <f>C23*D23</f>
        <v>50</v>
      </c>
      <c r="F23" s="182">
        <v>13.75</v>
      </c>
      <c r="G23" s="184">
        <f t="shared" ref="G23" si="2">E23*F23</f>
        <v>687.5</v>
      </c>
      <c r="I23" s="368"/>
    </row>
    <row r="24" spans="1:9" ht="19.5" thickBot="1">
      <c r="A24" s="181">
        <v>8</v>
      </c>
      <c r="B24" s="182" t="s">
        <v>239</v>
      </c>
      <c r="C24" s="183">
        <v>2</v>
      </c>
      <c r="D24" s="183">
        <v>10</v>
      </c>
      <c r="E24" s="183">
        <v>20</v>
      </c>
      <c r="F24" s="182">
        <v>13.75</v>
      </c>
      <c r="G24" s="184">
        <f>E24*F22</f>
        <v>275</v>
      </c>
      <c r="I24" s="367"/>
    </row>
    <row r="25" spans="1:9" ht="19.5" thickBot="1">
      <c r="A25" s="181"/>
      <c r="B25" s="182" t="s">
        <v>225</v>
      </c>
      <c r="C25" s="183"/>
      <c r="D25" s="183"/>
      <c r="E25" s="183">
        <f>SUM(E16:E24)</f>
        <v>994</v>
      </c>
      <c r="F25" s="182"/>
      <c r="G25" s="184">
        <f>SUM(G16:G24)</f>
        <v>13667.5</v>
      </c>
      <c r="I25" s="369"/>
    </row>
    <row r="26" spans="1:9" ht="19.5" thickBot="1">
      <c r="A26" s="181"/>
      <c r="B26" s="182"/>
      <c r="C26" s="311" t="s">
        <v>244</v>
      </c>
      <c r="D26" s="312"/>
      <c r="E26" s="312"/>
      <c r="F26" s="312"/>
      <c r="G26" s="190">
        <f>G25/E35</f>
        <v>1.0007361112435176</v>
      </c>
      <c r="I26" s="370"/>
    </row>
    <row r="27" spans="1:9" ht="19.5" thickBot="1">
      <c r="A27" s="181"/>
      <c r="B27" s="182" t="s">
        <v>226</v>
      </c>
      <c r="C27" s="183">
        <v>20</v>
      </c>
      <c r="D27" s="183" t="s">
        <v>218</v>
      </c>
      <c r="E27" s="183">
        <f>G27/F27</f>
        <v>196.0325818181818</v>
      </c>
      <c r="F27" s="182">
        <v>13.75</v>
      </c>
      <c r="G27" s="184">
        <f>'MOF 25-26'!E5-G14</f>
        <v>2695.4479999999999</v>
      </c>
    </row>
    <row r="28" spans="1:9">
      <c r="A28" s="180"/>
      <c r="B28" s="188"/>
      <c r="C28" s="188"/>
      <c r="D28" s="188"/>
      <c r="E28" s="188"/>
      <c r="F28" s="188"/>
      <c r="G28" s="188"/>
      <c r="H28" s="189"/>
    </row>
    <row r="29" spans="1:9">
      <c r="A29" s="188"/>
      <c r="B29" s="188"/>
      <c r="C29" s="188"/>
      <c r="D29" s="188"/>
      <c r="E29" s="188"/>
      <c r="F29" s="188"/>
      <c r="G29" s="188"/>
      <c r="H29" s="189"/>
    </row>
    <row r="30" spans="1:9" ht="18.75" customHeight="1">
      <c r="A30" s="188"/>
      <c r="B30" s="232" t="s">
        <v>240</v>
      </c>
      <c r="C30" s="232"/>
      <c r="D30" s="232"/>
      <c r="E30" s="187">
        <f>'MOF 25-26'!C16</f>
        <v>15663.858</v>
      </c>
    </row>
    <row r="31" spans="1:9">
      <c r="A31" s="188"/>
      <c r="B31" s="231" t="s">
        <v>241</v>
      </c>
      <c r="C31" s="231"/>
      <c r="D31" s="231"/>
      <c r="E31" s="187">
        <f>'MOF 25-26'!C17</f>
        <v>3846.7800000000007</v>
      </c>
    </row>
    <row r="32" spans="1:9">
      <c r="A32" s="188"/>
      <c r="B32" s="188"/>
      <c r="C32" s="188"/>
      <c r="D32" s="188"/>
      <c r="E32" s="189">
        <f>SUM(E30:E31)</f>
        <v>19510.637999999999</v>
      </c>
    </row>
    <row r="33" spans="1:7">
      <c r="A33" s="188"/>
      <c r="B33" s="188"/>
      <c r="C33" s="188"/>
      <c r="D33" s="188"/>
      <c r="E33" s="189"/>
    </row>
    <row r="34" spans="1:7">
      <c r="A34" s="188"/>
      <c r="B34" s="231" t="s">
        <v>242</v>
      </c>
      <c r="C34" s="231"/>
      <c r="D34" s="231"/>
      <c r="E34" s="226">
        <f>E32-E35</f>
        <v>5853.1913999999997</v>
      </c>
      <c r="F34" s="192">
        <f>G12</f>
        <v>5853.6500000000005</v>
      </c>
      <c r="G34" s="366">
        <f>E34-F34</f>
        <v>-0.45860000000084256</v>
      </c>
    </row>
    <row r="35" spans="1:7">
      <c r="A35" s="188"/>
      <c r="B35" s="231" t="s">
        <v>243</v>
      </c>
      <c r="C35" s="231"/>
      <c r="D35" s="231"/>
      <c r="E35" s="227">
        <f>E32*70%</f>
        <v>13657.446599999999</v>
      </c>
      <c r="F35" s="192">
        <f>G25</f>
        <v>13667.5</v>
      </c>
      <c r="G35" s="366">
        <f>E35-F35</f>
        <v>-10.053400000000693</v>
      </c>
    </row>
  </sheetData>
  <mergeCells count="4">
    <mergeCell ref="C13:F13"/>
    <mergeCell ref="C26:F26"/>
    <mergeCell ref="A1:B1"/>
    <mergeCell ref="A15:B1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42"/>
  <sheetViews>
    <sheetView workbookViewId="0">
      <selection activeCell="M47" sqref="M47"/>
    </sheetView>
  </sheetViews>
  <sheetFormatPr defaultRowHeight="15"/>
  <cols>
    <col min="1" max="1" width="2.42578125" customWidth="1"/>
    <col min="5" max="5" width="4.140625" customWidth="1"/>
    <col min="6" max="6" width="3" customWidth="1"/>
    <col min="7" max="7" width="3.140625" customWidth="1"/>
    <col min="8" max="8" width="4.28515625" customWidth="1"/>
    <col min="9" max="9" width="6.5703125" customWidth="1"/>
    <col min="10" max="10" width="14.140625" customWidth="1"/>
    <col min="12" max="12" width="39.85546875" customWidth="1"/>
  </cols>
  <sheetData>
    <row r="1" spans="1:15" ht="45">
      <c r="A1" s="171"/>
      <c r="B1" s="342" t="s">
        <v>0</v>
      </c>
      <c r="C1" s="343"/>
      <c r="D1" s="344"/>
      <c r="E1" s="170" t="s">
        <v>185</v>
      </c>
      <c r="F1" s="170" t="s">
        <v>183</v>
      </c>
      <c r="G1" s="170" t="s">
        <v>184</v>
      </c>
      <c r="H1" s="170" t="s">
        <v>197</v>
      </c>
      <c r="I1" s="170" t="s">
        <v>263</v>
      </c>
      <c r="J1" s="170" t="s">
        <v>199</v>
      </c>
      <c r="K1" s="345"/>
      <c r="L1" s="345"/>
    </row>
    <row r="2" spans="1:15">
      <c r="A2" s="174">
        <v>1</v>
      </c>
      <c r="B2" s="346" t="s">
        <v>179</v>
      </c>
      <c r="C2" s="347"/>
      <c r="D2" s="347"/>
      <c r="E2" s="215">
        <v>15</v>
      </c>
      <c r="F2" s="215">
        <v>3</v>
      </c>
      <c r="G2" s="215"/>
      <c r="H2" s="216">
        <f t="shared" ref="H2:H30" si="0">E2*F2</f>
        <v>45</v>
      </c>
      <c r="I2" s="217">
        <v>38.5</v>
      </c>
      <c r="J2" s="217">
        <f>H2*I2</f>
        <v>1732.5</v>
      </c>
      <c r="K2" s="351" t="s">
        <v>260</v>
      </c>
      <c r="L2" s="352"/>
    </row>
    <row r="3" spans="1:15">
      <c r="A3" s="174">
        <v>2</v>
      </c>
      <c r="B3" s="348" t="s">
        <v>172</v>
      </c>
      <c r="C3" s="349"/>
      <c r="D3" s="349"/>
      <c r="E3" s="213">
        <v>10</v>
      </c>
      <c r="F3" s="213">
        <v>5</v>
      </c>
      <c r="G3" s="213"/>
      <c r="H3" s="214">
        <f t="shared" si="0"/>
        <v>50</v>
      </c>
      <c r="I3" s="212">
        <v>38.5</v>
      </c>
      <c r="J3" s="212">
        <f t="shared" ref="J3:J9" si="1">H3*I3</f>
        <v>1925</v>
      </c>
      <c r="K3" s="331"/>
      <c r="L3" s="350"/>
    </row>
    <row r="4" spans="1:15">
      <c r="A4" s="174">
        <v>3</v>
      </c>
      <c r="B4" s="336" t="s">
        <v>168</v>
      </c>
      <c r="C4" s="337"/>
      <c r="D4" s="337"/>
      <c r="E4" s="193">
        <v>11</v>
      </c>
      <c r="F4" s="193">
        <v>2</v>
      </c>
      <c r="G4" s="193"/>
      <c r="H4" s="194">
        <f t="shared" si="0"/>
        <v>22</v>
      </c>
      <c r="I4" s="195">
        <v>19.25</v>
      </c>
      <c r="J4" s="195">
        <f t="shared" si="1"/>
        <v>423.5</v>
      </c>
      <c r="K4" s="350"/>
      <c r="L4" s="350"/>
      <c r="M4" t="s">
        <v>278</v>
      </c>
    </row>
    <row r="5" spans="1:15">
      <c r="A5" s="174">
        <v>4</v>
      </c>
      <c r="B5" s="336" t="s">
        <v>191</v>
      </c>
      <c r="C5" s="337"/>
      <c r="D5" s="337"/>
      <c r="E5" s="193">
        <v>35</v>
      </c>
      <c r="F5" s="193">
        <v>1</v>
      </c>
      <c r="G5" s="193"/>
      <c r="H5" s="194">
        <f t="shared" si="0"/>
        <v>35</v>
      </c>
      <c r="I5" s="195">
        <v>19.25</v>
      </c>
      <c r="J5" s="195">
        <f t="shared" si="1"/>
        <v>673.75</v>
      </c>
      <c r="K5" s="350"/>
      <c r="L5" s="350"/>
    </row>
    <row r="6" spans="1:15">
      <c r="A6" s="174">
        <v>5</v>
      </c>
      <c r="B6" s="336" t="s">
        <v>84</v>
      </c>
      <c r="C6" s="337"/>
      <c r="D6" s="337"/>
      <c r="E6" s="193">
        <v>10</v>
      </c>
      <c r="F6" s="193">
        <v>1</v>
      </c>
      <c r="G6" s="193"/>
      <c r="H6" s="194">
        <f t="shared" si="0"/>
        <v>10</v>
      </c>
      <c r="I6" s="195">
        <v>19.25</v>
      </c>
      <c r="J6" s="195">
        <f t="shared" si="1"/>
        <v>192.5</v>
      </c>
      <c r="K6" s="350"/>
      <c r="L6" s="350"/>
    </row>
    <row r="7" spans="1:15">
      <c r="A7" s="174">
        <v>6</v>
      </c>
      <c r="B7" s="336" t="s">
        <v>89</v>
      </c>
      <c r="C7" s="337"/>
      <c r="D7" s="337"/>
      <c r="E7" s="193">
        <v>10</v>
      </c>
      <c r="F7" s="193">
        <v>1</v>
      </c>
      <c r="G7" s="193"/>
      <c r="H7" s="194">
        <f t="shared" si="0"/>
        <v>10</v>
      </c>
      <c r="I7" s="195">
        <v>19.25</v>
      </c>
      <c r="J7" s="195">
        <f t="shared" si="1"/>
        <v>192.5</v>
      </c>
      <c r="K7" s="350"/>
      <c r="L7" s="350"/>
    </row>
    <row r="8" spans="1:15">
      <c r="A8" s="174">
        <v>7</v>
      </c>
      <c r="B8" s="361" t="s">
        <v>188</v>
      </c>
      <c r="C8" s="362"/>
      <c r="D8" s="362"/>
      <c r="E8" s="215">
        <v>60</v>
      </c>
      <c r="F8" s="218"/>
      <c r="G8" s="215">
        <v>1</v>
      </c>
      <c r="H8" s="216">
        <f>E8*G8</f>
        <v>60</v>
      </c>
      <c r="I8" s="217">
        <v>38.5</v>
      </c>
      <c r="J8" s="217">
        <f t="shared" si="1"/>
        <v>2310</v>
      </c>
      <c r="K8" s="351" t="s">
        <v>261</v>
      </c>
      <c r="L8" s="352"/>
      <c r="M8" t="s">
        <v>270</v>
      </c>
    </row>
    <row r="9" spans="1:15">
      <c r="A9" s="174">
        <v>8</v>
      </c>
      <c r="B9" s="336" t="s">
        <v>39</v>
      </c>
      <c r="C9" s="336"/>
      <c r="D9" s="336"/>
      <c r="E9" s="193">
        <v>19</v>
      </c>
      <c r="F9" s="193"/>
      <c r="G9" s="193">
        <v>17</v>
      </c>
      <c r="H9" s="194">
        <f>E9*G9</f>
        <v>323</v>
      </c>
      <c r="I9" s="195">
        <v>19.25</v>
      </c>
      <c r="J9" s="195">
        <f t="shared" si="1"/>
        <v>6217.75</v>
      </c>
      <c r="K9" s="331"/>
      <c r="L9" s="331"/>
    </row>
    <row r="10" spans="1:15">
      <c r="A10" s="174">
        <v>9</v>
      </c>
      <c r="B10" s="336" t="s">
        <v>40</v>
      </c>
      <c r="C10" s="336"/>
      <c r="D10" s="336"/>
      <c r="E10" s="193"/>
      <c r="F10" s="193"/>
      <c r="G10" s="193"/>
      <c r="H10" s="194"/>
      <c r="I10" s="195"/>
      <c r="J10" s="195">
        <f>J11+J12+J13</f>
        <v>10472</v>
      </c>
      <c r="K10" s="331"/>
      <c r="L10" s="331"/>
    </row>
    <row r="11" spans="1:15">
      <c r="A11" s="174"/>
      <c r="B11" s="363" t="s">
        <v>30</v>
      </c>
      <c r="C11" s="364"/>
      <c r="D11" s="364"/>
      <c r="E11" s="193">
        <v>11</v>
      </c>
      <c r="F11" s="193"/>
      <c r="G11" s="196">
        <v>34</v>
      </c>
      <c r="H11" s="194">
        <f t="shared" ref="H11:H13" si="2">E11*G11</f>
        <v>374</v>
      </c>
      <c r="I11" s="195">
        <v>19.25</v>
      </c>
      <c r="J11" s="195">
        <f t="shared" ref="J11:J38" si="3">H11*I11</f>
        <v>7199.5</v>
      </c>
      <c r="K11" s="331"/>
      <c r="L11" s="331"/>
    </row>
    <row r="12" spans="1:15">
      <c r="A12" s="174"/>
      <c r="B12" s="363" t="s">
        <v>174</v>
      </c>
      <c r="C12" s="364"/>
      <c r="D12" s="364"/>
      <c r="E12" s="193">
        <v>17</v>
      </c>
      <c r="F12" s="193"/>
      <c r="G12" s="196">
        <v>1</v>
      </c>
      <c r="H12" s="194">
        <f t="shared" si="2"/>
        <v>17</v>
      </c>
      <c r="I12" s="195">
        <v>19.25</v>
      </c>
      <c r="J12" s="195">
        <f t="shared" si="3"/>
        <v>327.25</v>
      </c>
      <c r="K12" s="331"/>
      <c r="L12" s="331"/>
    </row>
    <row r="13" spans="1:15">
      <c r="A13" s="174"/>
      <c r="B13" s="363" t="s">
        <v>28</v>
      </c>
      <c r="C13" s="364"/>
      <c r="D13" s="364"/>
      <c r="E13" s="193">
        <v>9</v>
      </c>
      <c r="F13" s="193"/>
      <c r="G13" s="196">
        <v>17</v>
      </c>
      <c r="H13" s="194">
        <f t="shared" si="2"/>
        <v>153</v>
      </c>
      <c r="I13" s="195">
        <v>19.25</v>
      </c>
      <c r="J13" s="195">
        <f t="shared" si="3"/>
        <v>2945.25</v>
      </c>
      <c r="K13" s="331"/>
      <c r="L13" s="331"/>
    </row>
    <row r="14" spans="1:15">
      <c r="A14" s="174">
        <v>10</v>
      </c>
      <c r="B14" s="338" t="s">
        <v>180</v>
      </c>
      <c r="C14" s="365"/>
      <c r="D14" s="365"/>
      <c r="E14" s="213">
        <v>34</v>
      </c>
      <c r="F14" s="213">
        <v>1</v>
      </c>
      <c r="G14" s="213"/>
      <c r="H14" s="214">
        <f t="shared" si="0"/>
        <v>34</v>
      </c>
      <c r="I14" s="212">
        <v>19.25</v>
      </c>
      <c r="J14" s="212">
        <f t="shared" si="3"/>
        <v>654.5</v>
      </c>
      <c r="K14" s="323" t="s">
        <v>254</v>
      </c>
      <c r="L14" s="324"/>
    </row>
    <row r="15" spans="1:15">
      <c r="A15" s="174">
        <v>11</v>
      </c>
      <c r="B15" s="338" t="s">
        <v>105</v>
      </c>
      <c r="C15" s="338"/>
      <c r="D15" s="338"/>
      <c r="E15" s="213">
        <v>190</v>
      </c>
      <c r="F15" s="213">
        <v>1</v>
      </c>
      <c r="G15" s="213"/>
      <c r="H15" s="214">
        <f t="shared" si="0"/>
        <v>190</v>
      </c>
      <c r="I15" s="212">
        <v>19.25</v>
      </c>
      <c r="J15" s="212">
        <f t="shared" si="3"/>
        <v>3657.5</v>
      </c>
      <c r="K15" s="323" t="s">
        <v>255</v>
      </c>
      <c r="L15" s="324"/>
      <c r="O15" t="s">
        <v>272</v>
      </c>
    </row>
    <row r="16" spans="1:15">
      <c r="A16" s="174">
        <v>12</v>
      </c>
      <c r="B16" s="338" t="s">
        <v>271</v>
      </c>
      <c r="C16" s="338"/>
      <c r="D16" s="338"/>
      <c r="E16" s="213">
        <v>40</v>
      </c>
      <c r="F16" s="213">
        <v>1</v>
      </c>
      <c r="G16" s="213"/>
      <c r="H16" s="214">
        <f t="shared" si="0"/>
        <v>40</v>
      </c>
      <c r="I16" s="212">
        <v>19.25</v>
      </c>
      <c r="J16" s="212">
        <f t="shared" si="3"/>
        <v>770</v>
      </c>
      <c r="K16" s="358" t="s">
        <v>266</v>
      </c>
      <c r="L16" s="359"/>
      <c r="O16" t="s">
        <v>273</v>
      </c>
    </row>
    <row r="17" spans="1:15">
      <c r="A17" s="174">
        <v>13</v>
      </c>
      <c r="B17" s="336" t="s">
        <v>41</v>
      </c>
      <c r="C17" s="336"/>
      <c r="D17" s="336"/>
      <c r="E17" s="193">
        <v>5</v>
      </c>
      <c r="F17" s="193">
        <v>4</v>
      </c>
      <c r="G17" s="193"/>
      <c r="H17" s="194">
        <f t="shared" si="0"/>
        <v>20</v>
      </c>
      <c r="I17" s="195">
        <v>19.25</v>
      </c>
      <c r="J17" s="195">
        <f t="shared" si="3"/>
        <v>385</v>
      </c>
      <c r="K17" s="340"/>
      <c r="L17" s="341"/>
      <c r="O17" t="s">
        <v>274</v>
      </c>
    </row>
    <row r="18" spans="1:15">
      <c r="A18" s="174">
        <v>14</v>
      </c>
      <c r="B18" s="336" t="s">
        <v>186</v>
      </c>
      <c r="C18" s="336"/>
      <c r="D18" s="336"/>
      <c r="E18" s="193">
        <v>5</v>
      </c>
      <c r="F18" s="193">
        <v>3</v>
      </c>
      <c r="G18" s="193"/>
      <c r="H18" s="194">
        <f t="shared" si="0"/>
        <v>15</v>
      </c>
      <c r="I18" s="195">
        <v>19.25</v>
      </c>
      <c r="J18" s="195">
        <f t="shared" si="3"/>
        <v>288.75</v>
      </c>
      <c r="K18" s="340"/>
      <c r="L18" s="341"/>
    </row>
    <row r="19" spans="1:15">
      <c r="A19" s="174">
        <v>15</v>
      </c>
      <c r="B19" s="336" t="s">
        <v>181</v>
      </c>
      <c r="C19" s="336"/>
      <c r="D19" s="336"/>
      <c r="E19" s="193">
        <v>7</v>
      </c>
      <c r="F19" s="193">
        <v>17</v>
      </c>
      <c r="G19" s="193"/>
      <c r="H19" s="194">
        <f t="shared" si="0"/>
        <v>119</v>
      </c>
      <c r="I19" s="195">
        <v>19.25</v>
      </c>
      <c r="J19" s="195">
        <f t="shared" si="3"/>
        <v>2290.75</v>
      </c>
      <c r="K19" s="325"/>
      <c r="L19" s="326"/>
    </row>
    <row r="20" spans="1:15">
      <c r="A20" s="174">
        <v>16</v>
      </c>
      <c r="B20" s="327" t="s">
        <v>230</v>
      </c>
      <c r="C20" s="339"/>
      <c r="D20" s="339"/>
      <c r="E20" s="213">
        <v>2</v>
      </c>
      <c r="F20" s="213">
        <v>7</v>
      </c>
      <c r="G20" s="213"/>
      <c r="H20" s="214">
        <f t="shared" si="0"/>
        <v>14</v>
      </c>
      <c r="I20" s="212">
        <v>19.25</v>
      </c>
      <c r="J20" s="212">
        <f t="shared" si="3"/>
        <v>269.5</v>
      </c>
      <c r="K20" s="323" t="s">
        <v>256</v>
      </c>
      <c r="L20" s="324"/>
    </row>
    <row r="21" spans="1:15">
      <c r="A21" s="174">
        <v>17</v>
      </c>
      <c r="B21" s="338" t="s">
        <v>253</v>
      </c>
      <c r="C21" s="338"/>
      <c r="D21" s="338"/>
      <c r="E21" s="213">
        <v>40</v>
      </c>
      <c r="F21" s="213">
        <v>1</v>
      </c>
      <c r="G21" s="213"/>
      <c r="H21" s="214">
        <f t="shared" si="0"/>
        <v>40</v>
      </c>
      <c r="I21" s="212">
        <v>19.25</v>
      </c>
      <c r="J21" s="212">
        <f t="shared" si="3"/>
        <v>770</v>
      </c>
      <c r="K21" s="323" t="s">
        <v>257</v>
      </c>
      <c r="L21" s="324"/>
    </row>
    <row r="22" spans="1:15">
      <c r="A22" s="174">
        <v>18</v>
      </c>
      <c r="B22" s="329" t="s">
        <v>177</v>
      </c>
      <c r="C22" s="335"/>
      <c r="D22" s="335"/>
      <c r="E22" s="193">
        <v>10</v>
      </c>
      <c r="F22" s="193">
        <v>12</v>
      </c>
      <c r="G22" s="193"/>
      <c r="H22" s="194">
        <f t="shared" si="0"/>
        <v>120</v>
      </c>
      <c r="I22" s="195">
        <v>19.25</v>
      </c>
      <c r="J22" s="195">
        <f t="shared" si="3"/>
        <v>2310</v>
      </c>
      <c r="K22" s="331"/>
      <c r="L22" s="331"/>
      <c r="M22" t="s">
        <v>275</v>
      </c>
    </row>
    <row r="23" spans="1:15">
      <c r="A23" s="174">
        <v>19</v>
      </c>
      <c r="B23" s="338" t="s">
        <v>42</v>
      </c>
      <c r="C23" s="338"/>
      <c r="D23" s="338"/>
      <c r="E23" s="213">
        <v>44</v>
      </c>
      <c r="F23" s="213">
        <v>2</v>
      </c>
      <c r="G23" s="213"/>
      <c r="H23" s="214">
        <f t="shared" si="0"/>
        <v>88</v>
      </c>
      <c r="I23" s="212">
        <v>19.25</v>
      </c>
      <c r="J23" s="212">
        <f t="shared" si="3"/>
        <v>1694</v>
      </c>
      <c r="K23" s="323" t="s">
        <v>258</v>
      </c>
      <c r="L23" s="324"/>
    </row>
    <row r="24" spans="1:15">
      <c r="A24" s="174">
        <v>20</v>
      </c>
      <c r="B24" s="329" t="s">
        <v>167</v>
      </c>
      <c r="C24" s="335"/>
      <c r="D24" s="335"/>
      <c r="E24" s="193">
        <v>33</v>
      </c>
      <c r="F24" s="193">
        <v>1</v>
      </c>
      <c r="G24" s="193"/>
      <c r="H24" s="194">
        <f t="shared" si="0"/>
        <v>33</v>
      </c>
      <c r="I24" s="195">
        <v>19.25</v>
      </c>
      <c r="J24" s="195">
        <f t="shared" si="3"/>
        <v>635.25</v>
      </c>
      <c r="K24" s="219"/>
      <c r="L24" s="220"/>
    </row>
    <row r="25" spans="1:15">
      <c r="A25" s="174">
        <v>21</v>
      </c>
      <c r="B25" s="329" t="s">
        <v>201</v>
      </c>
      <c r="C25" s="335"/>
      <c r="D25" s="335"/>
      <c r="E25" s="193">
        <v>22</v>
      </c>
      <c r="F25" s="193">
        <v>3</v>
      </c>
      <c r="G25" s="193"/>
      <c r="H25" s="194">
        <f>E25*F25</f>
        <v>66</v>
      </c>
      <c r="I25" s="195">
        <v>19.25</v>
      </c>
      <c r="J25" s="195">
        <f>H25*I25</f>
        <v>1270.5</v>
      </c>
      <c r="K25" s="221"/>
      <c r="L25" s="222"/>
    </row>
    <row r="26" spans="1:15">
      <c r="A26" s="174">
        <v>22</v>
      </c>
      <c r="B26" s="329" t="s">
        <v>202</v>
      </c>
      <c r="C26" s="335"/>
      <c r="D26" s="335"/>
      <c r="E26" s="193">
        <v>5</v>
      </c>
      <c r="F26" s="193">
        <v>5</v>
      </c>
      <c r="G26" s="193"/>
      <c r="H26" s="194">
        <f>E26*F26</f>
        <v>25</v>
      </c>
      <c r="I26" s="195">
        <v>19.25</v>
      </c>
      <c r="J26" s="195">
        <f>H26*I26</f>
        <v>481.25</v>
      </c>
      <c r="K26" s="223"/>
      <c r="L26" s="224"/>
    </row>
    <row r="27" spans="1:15">
      <c r="A27" s="174">
        <v>23</v>
      </c>
      <c r="B27" s="336" t="s">
        <v>200</v>
      </c>
      <c r="C27" s="337"/>
      <c r="D27" s="337"/>
      <c r="E27" s="193">
        <v>6</v>
      </c>
      <c r="F27" s="193">
        <v>10</v>
      </c>
      <c r="G27" s="193"/>
      <c r="H27" s="194">
        <f t="shared" si="0"/>
        <v>60</v>
      </c>
      <c r="I27" s="195">
        <v>19.25</v>
      </c>
      <c r="J27" s="195">
        <f t="shared" si="3"/>
        <v>1155</v>
      </c>
      <c r="K27" s="223"/>
      <c r="L27" s="224"/>
    </row>
    <row r="28" spans="1:15">
      <c r="A28" s="174">
        <v>24</v>
      </c>
      <c r="B28" s="329" t="s">
        <v>182</v>
      </c>
      <c r="C28" s="335"/>
      <c r="D28" s="335"/>
      <c r="E28" s="193">
        <v>27</v>
      </c>
      <c r="F28" s="193">
        <v>1</v>
      </c>
      <c r="G28" s="193"/>
      <c r="H28" s="194">
        <f t="shared" si="0"/>
        <v>27</v>
      </c>
      <c r="I28" s="195">
        <v>19.25</v>
      </c>
      <c r="J28" s="195">
        <f t="shared" si="3"/>
        <v>519.75</v>
      </c>
      <c r="K28" s="223"/>
      <c r="L28" s="224"/>
    </row>
    <row r="29" spans="1:15">
      <c r="A29" s="174">
        <v>25</v>
      </c>
      <c r="B29" s="329" t="s">
        <v>171</v>
      </c>
      <c r="C29" s="335"/>
      <c r="D29" s="335"/>
      <c r="E29" s="193">
        <v>9</v>
      </c>
      <c r="F29" s="193">
        <v>1</v>
      </c>
      <c r="G29" s="193"/>
      <c r="H29" s="194">
        <f t="shared" si="0"/>
        <v>9</v>
      </c>
      <c r="I29" s="195">
        <v>19.25</v>
      </c>
      <c r="J29" s="195">
        <f t="shared" si="3"/>
        <v>173.25</v>
      </c>
      <c r="K29" s="223"/>
      <c r="L29" s="224"/>
    </row>
    <row r="30" spans="1:15">
      <c r="A30" s="174">
        <v>26</v>
      </c>
      <c r="B30" s="329" t="s">
        <v>187</v>
      </c>
      <c r="C30" s="330"/>
      <c r="D30" s="330"/>
      <c r="E30" s="193">
        <v>9</v>
      </c>
      <c r="F30" s="193">
        <v>2</v>
      </c>
      <c r="G30" s="193"/>
      <c r="H30" s="194">
        <f t="shared" si="0"/>
        <v>18</v>
      </c>
      <c r="I30" s="195">
        <v>19.25</v>
      </c>
      <c r="J30" s="195">
        <f>H30*I30</f>
        <v>346.5</v>
      </c>
      <c r="K30" s="223"/>
      <c r="L30" s="224"/>
    </row>
    <row r="31" spans="1:15">
      <c r="A31" s="174">
        <v>27</v>
      </c>
      <c r="B31" s="329" t="s">
        <v>190</v>
      </c>
      <c r="C31" s="330"/>
      <c r="D31" s="330"/>
      <c r="E31" s="193">
        <v>18</v>
      </c>
      <c r="F31" s="193">
        <v>1</v>
      </c>
      <c r="G31" s="193"/>
      <c r="H31" s="194">
        <f>E31*F31</f>
        <v>18</v>
      </c>
      <c r="I31" s="195">
        <v>19.25</v>
      </c>
      <c r="J31" s="195">
        <f t="shared" si="3"/>
        <v>346.5</v>
      </c>
      <c r="K31" s="223"/>
      <c r="L31" s="224"/>
    </row>
    <row r="32" spans="1:15">
      <c r="A32" s="174">
        <v>28</v>
      </c>
      <c r="B32" s="327" t="s">
        <v>229</v>
      </c>
      <c r="C32" s="328"/>
      <c r="D32" s="328"/>
      <c r="E32" s="213">
        <v>15</v>
      </c>
      <c r="F32" s="213">
        <v>2</v>
      </c>
      <c r="G32" s="213"/>
      <c r="H32" s="214">
        <f t="shared" ref="H32:H37" si="4">E32*F32</f>
        <v>30</v>
      </c>
      <c r="I32" s="212">
        <v>19.25</v>
      </c>
      <c r="J32" s="212">
        <f t="shared" si="3"/>
        <v>577.5</v>
      </c>
      <c r="K32" s="353" t="s">
        <v>267</v>
      </c>
      <c r="L32" s="354"/>
      <c r="M32" t="s">
        <v>276</v>
      </c>
    </row>
    <row r="33" spans="1:13">
      <c r="A33" s="174">
        <v>29</v>
      </c>
      <c r="B33" s="329" t="s">
        <v>189</v>
      </c>
      <c r="C33" s="330"/>
      <c r="D33" s="330"/>
      <c r="E33" s="193">
        <v>4</v>
      </c>
      <c r="F33" s="193">
        <v>4</v>
      </c>
      <c r="G33" s="193"/>
      <c r="H33" s="194">
        <f t="shared" si="4"/>
        <v>16</v>
      </c>
      <c r="I33" s="195">
        <v>19.25</v>
      </c>
      <c r="J33" s="195">
        <f t="shared" si="3"/>
        <v>308</v>
      </c>
      <c r="K33" s="325"/>
      <c r="L33" s="326"/>
    </row>
    <row r="34" spans="1:13">
      <c r="A34" s="174">
        <v>30</v>
      </c>
      <c r="B34" s="327" t="s">
        <v>246</v>
      </c>
      <c r="C34" s="328"/>
      <c r="D34" s="328"/>
      <c r="E34" s="213">
        <v>25</v>
      </c>
      <c r="F34" s="213">
        <v>1</v>
      </c>
      <c r="G34" s="213"/>
      <c r="H34" s="214">
        <f t="shared" si="4"/>
        <v>25</v>
      </c>
      <c r="I34" s="212">
        <v>19.25</v>
      </c>
      <c r="J34" s="212">
        <f t="shared" si="3"/>
        <v>481.25</v>
      </c>
      <c r="K34" s="323" t="s">
        <v>262</v>
      </c>
      <c r="L34" s="324"/>
    </row>
    <row r="35" spans="1:13">
      <c r="A35" s="174">
        <v>31</v>
      </c>
      <c r="B35" s="327" t="s">
        <v>228</v>
      </c>
      <c r="C35" s="328"/>
      <c r="D35" s="328"/>
      <c r="E35" s="213">
        <v>3</v>
      </c>
      <c r="F35" s="213">
        <v>4</v>
      </c>
      <c r="G35" s="213"/>
      <c r="H35" s="214">
        <f t="shared" si="4"/>
        <v>12</v>
      </c>
      <c r="I35" s="212">
        <v>19.25</v>
      </c>
      <c r="J35" s="212">
        <f t="shared" si="3"/>
        <v>231</v>
      </c>
      <c r="K35" s="334" t="s">
        <v>259</v>
      </c>
      <c r="L35" s="334"/>
    </row>
    <row r="36" spans="1:13">
      <c r="A36" s="174">
        <v>32</v>
      </c>
      <c r="B36" s="329" t="s">
        <v>269</v>
      </c>
      <c r="C36" s="330"/>
      <c r="D36" s="330"/>
      <c r="E36" s="193">
        <v>10</v>
      </c>
      <c r="F36" s="193">
        <v>1</v>
      </c>
      <c r="G36" s="193"/>
      <c r="H36" s="194">
        <f t="shared" si="4"/>
        <v>10</v>
      </c>
      <c r="I36" s="195">
        <v>19.25</v>
      </c>
      <c r="J36" s="195">
        <f t="shared" si="3"/>
        <v>192.5</v>
      </c>
      <c r="K36" s="331"/>
      <c r="L36" s="331"/>
    </row>
    <row r="37" spans="1:13">
      <c r="A37" s="174">
        <v>33</v>
      </c>
      <c r="B37" s="332" t="s">
        <v>247</v>
      </c>
      <c r="C37" s="333"/>
      <c r="D37" s="333"/>
      <c r="E37" s="215">
        <v>9</v>
      </c>
      <c r="F37" s="215">
        <v>6</v>
      </c>
      <c r="G37" s="215"/>
      <c r="H37" s="216">
        <f t="shared" si="4"/>
        <v>54</v>
      </c>
      <c r="I37" s="217">
        <v>19.25</v>
      </c>
      <c r="J37" s="217">
        <f t="shared" si="3"/>
        <v>1039.5</v>
      </c>
      <c r="K37" s="351" t="s">
        <v>268</v>
      </c>
      <c r="L37" s="352"/>
      <c r="M37" t="s">
        <v>277</v>
      </c>
    </row>
    <row r="38" spans="1:13">
      <c r="A38" s="174">
        <v>34</v>
      </c>
      <c r="B38" s="355" t="s">
        <v>264</v>
      </c>
      <c r="C38" s="356"/>
      <c r="D38" s="357"/>
      <c r="E38" s="215">
        <v>2</v>
      </c>
      <c r="F38" s="215">
        <v>16</v>
      </c>
      <c r="G38" s="215"/>
      <c r="H38" s="216">
        <f t="shared" ref="H38" si="5">E38*F38</f>
        <v>32</v>
      </c>
      <c r="I38" s="217">
        <v>19.25</v>
      </c>
      <c r="J38" s="217">
        <f t="shared" si="3"/>
        <v>616</v>
      </c>
      <c r="K38" s="360" t="s">
        <v>265</v>
      </c>
      <c r="L38" s="352"/>
    </row>
    <row r="39" spans="1:13">
      <c r="A39" s="174"/>
      <c r="B39" s="317" t="s">
        <v>97</v>
      </c>
      <c r="C39" s="318"/>
      <c r="D39" s="318"/>
      <c r="E39" s="318"/>
      <c r="F39" s="318"/>
      <c r="G39" s="318"/>
      <c r="H39" s="318"/>
      <c r="I39" s="318"/>
      <c r="J39" s="168">
        <f>SUM(J2:J38)-J10</f>
        <v>45603.25</v>
      </c>
    </row>
    <row r="40" spans="1:13">
      <c r="A40" s="174"/>
      <c r="B40" s="317" t="s">
        <v>98</v>
      </c>
      <c r="C40" s="318"/>
      <c r="D40" s="318"/>
      <c r="E40" s="318"/>
      <c r="F40" s="318"/>
      <c r="G40" s="318"/>
      <c r="H40" s="318"/>
      <c r="I40" s="318"/>
      <c r="J40" s="168" t="e">
        <f>'MOF 25-26'!#REF!</f>
        <v>#REF!</v>
      </c>
    </row>
    <row r="41" spans="1:13">
      <c r="A41" s="174"/>
      <c r="B41" s="319" t="s">
        <v>95</v>
      </c>
      <c r="C41" s="320"/>
      <c r="D41" s="320"/>
      <c r="E41" s="318"/>
      <c r="F41" s="318"/>
      <c r="G41" s="318"/>
      <c r="H41" s="318"/>
      <c r="I41" s="318"/>
      <c r="J41" s="177" t="e">
        <f>J40-J39</f>
        <v>#REF!</v>
      </c>
    </row>
    <row r="42" spans="1:13">
      <c r="A42" s="174"/>
      <c r="B42" s="321" t="s">
        <v>96</v>
      </c>
      <c r="C42" s="322"/>
      <c r="D42" s="322"/>
      <c r="E42" s="322"/>
      <c r="F42" s="322"/>
      <c r="G42" s="322"/>
      <c r="H42" s="318"/>
      <c r="I42" s="318"/>
      <c r="J42" s="169" t="e">
        <f>J39/J40</f>
        <v>#REF!</v>
      </c>
    </row>
  </sheetData>
  <mergeCells count="62">
    <mergeCell ref="K37:L37"/>
    <mergeCell ref="K32:L32"/>
    <mergeCell ref="B38:D38"/>
    <mergeCell ref="K16:L16"/>
    <mergeCell ref="K8:L8"/>
    <mergeCell ref="K38:L38"/>
    <mergeCell ref="B8:D8"/>
    <mergeCell ref="B9:D9"/>
    <mergeCell ref="K9:L13"/>
    <mergeCell ref="B10:D10"/>
    <mergeCell ref="B11:D11"/>
    <mergeCell ref="B12:D12"/>
    <mergeCell ref="B13:D13"/>
    <mergeCell ref="B14:D14"/>
    <mergeCell ref="B15:D15"/>
    <mergeCell ref="B16:D16"/>
    <mergeCell ref="B1:D1"/>
    <mergeCell ref="K1:L1"/>
    <mergeCell ref="B2:D2"/>
    <mergeCell ref="B3:D3"/>
    <mergeCell ref="K3:L7"/>
    <mergeCell ref="B4:D4"/>
    <mergeCell ref="B5:D5"/>
    <mergeCell ref="B6:D6"/>
    <mergeCell ref="B7:D7"/>
    <mergeCell ref="K2:L2"/>
    <mergeCell ref="K14:L14"/>
    <mergeCell ref="K22:L22"/>
    <mergeCell ref="B23:D23"/>
    <mergeCell ref="B24:D24"/>
    <mergeCell ref="B25:D25"/>
    <mergeCell ref="B20:D20"/>
    <mergeCell ref="B21:D21"/>
    <mergeCell ref="B22:D22"/>
    <mergeCell ref="K20:L20"/>
    <mergeCell ref="B17:D17"/>
    <mergeCell ref="K17:L19"/>
    <mergeCell ref="B18:D18"/>
    <mergeCell ref="B19:D19"/>
    <mergeCell ref="K15:L15"/>
    <mergeCell ref="B26:D26"/>
    <mergeCell ref="B27:D27"/>
    <mergeCell ref="B31:D31"/>
    <mergeCell ref="B32:D32"/>
    <mergeCell ref="B33:D33"/>
    <mergeCell ref="B30:D30"/>
    <mergeCell ref="B40:I40"/>
    <mergeCell ref="B41:I41"/>
    <mergeCell ref="B42:I42"/>
    <mergeCell ref="K23:L23"/>
    <mergeCell ref="K21:L21"/>
    <mergeCell ref="K34:L34"/>
    <mergeCell ref="B39:I39"/>
    <mergeCell ref="K33:L33"/>
    <mergeCell ref="B34:D34"/>
    <mergeCell ref="B35:D35"/>
    <mergeCell ref="B36:D36"/>
    <mergeCell ref="K36:L36"/>
    <mergeCell ref="B37:D37"/>
    <mergeCell ref="K35:L35"/>
    <mergeCell ref="B28:D28"/>
    <mergeCell ref="B29:D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Foglio1</vt:lpstr>
      <vt:lpstr>Foglio5</vt:lpstr>
      <vt:lpstr>Foglio3</vt:lpstr>
      <vt:lpstr>Foglio 4</vt:lpstr>
      <vt:lpstr>MOF 25-26</vt:lpstr>
      <vt:lpstr>fis docenti 25-26</vt:lpstr>
      <vt:lpstr>fis ATA 25-26</vt:lpstr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Benetti</dc:creator>
  <cp:lastModifiedBy>dirigente</cp:lastModifiedBy>
  <cp:lastPrinted>2025-07-30T09:27:24Z</cp:lastPrinted>
  <dcterms:created xsi:type="dcterms:W3CDTF">2019-12-02T20:09:08Z</dcterms:created>
  <dcterms:modified xsi:type="dcterms:W3CDTF">2025-11-24T12:27:15Z</dcterms:modified>
</cp:coreProperties>
</file>