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2-DSGA\CONTRATTAZIONE MOF\AMMONTARE COMPLESSIVO DEI PREMI\"/>
    </mc:Choice>
  </mc:AlternateContent>
  <bookViews>
    <workbookView xWindow="0" yWindow="0" windowWidth="28800" windowHeight="12030" activeTab="1"/>
  </bookViews>
  <sheets>
    <sheet name="Docenti" sheetId="2" r:id="rId1"/>
    <sheet name="AT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0" i="2" l="1"/>
  <c r="Y90" i="2" s="1"/>
  <c r="L90" i="2"/>
  <c r="Y88" i="2"/>
  <c r="V88" i="2"/>
  <c r="U88" i="2"/>
  <c r="M88" i="2"/>
  <c r="J88" i="2"/>
  <c r="B88" i="2"/>
  <c r="W86" i="2"/>
  <c r="T86" i="2"/>
  <c r="Q86" i="2"/>
  <c r="O85" i="2"/>
  <c r="L85" i="2"/>
  <c r="K85" i="2"/>
  <c r="F85" i="2"/>
  <c r="E85" i="2"/>
  <c r="R84" i="2"/>
  <c r="T84" i="2" s="1"/>
  <c r="Q84" i="2"/>
  <c r="O84" i="2"/>
  <c r="T83" i="2"/>
  <c r="T82" i="2"/>
  <c r="Q82" i="2"/>
  <c r="Q81" i="2"/>
  <c r="G81" i="2"/>
  <c r="F81" i="2"/>
  <c r="E81" i="2"/>
  <c r="C81" i="2"/>
  <c r="O80" i="2"/>
  <c r="T80" i="2" s="1"/>
  <c r="F80" i="2"/>
  <c r="R79" i="2"/>
  <c r="T79" i="2" s="1"/>
  <c r="W78" i="2"/>
  <c r="Q78" i="2"/>
  <c r="O78" i="2"/>
  <c r="K78" i="2"/>
  <c r="D78" i="2"/>
  <c r="T78" i="2" s="1"/>
  <c r="R77" i="2"/>
  <c r="T77" i="2" s="1"/>
  <c r="W76" i="2"/>
  <c r="Q76" i="2"/>
  <c r="L76" i="2"/>
  <c r="K76" i="2"/>
  <c r="O75" i="2"/>
  <c r="D75" i="2"/>
  <c r="T75" i="2" s="1"/>
  <c r="Q74" i="2"/>
  <c r="O74" i="2"/>
  <c r="K74" i="2"/>
  <c r="T74" i="2" s="1"/>
  <c r="R73" i="2"/>
  <c r="L73" i="2"/>
  <c r="R72" i="2"/>
  <c r="O72" i="2"/>
  <c r="T72" i="2" s="1"/>
  <c r="Q71" i="2"/>
  <c r="H71" i="2"/>
  <c r="T71" i="2" s="1"/>
  <c r="Q70" i="2"/>
  <c r="F70" i="2"/>
  <c r="D70" i="2"/>
  <c r="R69" i="2"/>
  <c r="Q69" i="2"/>
  <c r="O69" i="2"/>
  <c r="H69" i="2"/>
  <c r="F69" i="2"/>
  <c r="D69" i="2"/>
  <c r="T69" i="2" s="1"/>
  <c r="O68" i="2"/>
  <c r="T68" i="2" s="1"/>
  <c r="Q67" i="2"/>
  <c r="O67" i="2"/>
  <c r="F67" i="2"/>
  <c r="D67" i="2"/>
  <c r="Q66" i="2"/>
  <c r="T66" i="2" s="1"/>
  <c r="Q65" i="2"/>
  <c r="F65" i="2"/>
  <c r="Q64" i="2"/>
  <c r="F64" i="2"/>
  <c r="T64" i="2" s="1"/>
  <c r="T63" i="2"/>
  <c r="Q63" i="2"/>
  <c r="O62" i="2"/>
  <c r="L62" i="2"/>
  <c r="G62" i="2"/>
  <c r="F62" i="2"/>
  <c r="Q61" i="2"/>
  <c r="O61" i="2"/>
  <c r="T61" i="2" s="1"/>
  <c r="L60" i="2"/>
  <c r="F60" i="2"/>
  <c r="Q59" i="2"/>
  <c r="P59" i="2"/>
  <c r="L59" i="2"/>
  <c r="I59" i="2"/>
  <c r="R58" i="2"/>
  <c r="Q58" i="2"/>
  <c r="O58" i="2"/>
  <c r="K58" i="2"/>
  <c r="W57" i="2"/>
  <c r="Q57" i="2"/>
  <c r="H57" i="2"/>
  <c r="F57" i="2"/>
  <c r="Q56" i="2"/>
  <c r="O56" i="2"/>
  <c r="L56" i="2"/>
  <c r="O55" i="2"/>
  <c r="F55" i="2"/>
  <c r="C55" i="2"/>
  <c r="T55" i="2" s="1"/>
  <c r="X54" i="2"/>
  <c r="R54" i="2"/>
  <c r="Q54" i="2"/>
  <c r="T54" i="2" s="1"/>
  <c r="T53" i="2"/>
  <c r="K53" i="2"/>
  <c r="W52" i="2"/>
  <c r="T52" i="2"/>
  <c r="T51" i="2"/>
  <c r="O51" i="2"/>
  <c r="W50" i="2"/>
  <c r="R50" i="2"/>
  <c r="T50" i="2" s="1"/>
  <c r="Q50" i="2"/>
  <c r="W49" i="2"/>
  <c r="R49" i="2"/>
  <c r="Q49" i="2"/>
  <c r="O49" i="2"/>
  <c r="E49" i="2"/>
  <c r="D49" i="2"/>
  <c r="R48" i="2"/>
  <c r="T48" i="2" s="1"/>
  <c r="W47" i="2"/>
  <c r="T47" i="2"/>
  <c r="O46" i="2"/>
  <c r="T46" i="2" s="1"/>
  <c r="W45" i="2"/>
  <c r="T45" i="2"/>
  <c r="Q44" i="2"/>
  <c r="O44" i="2"/>
  <c r="H44" i="2"/>
  <c r="T44" i="2" s="1"/>
  <c r="W43" i="2"/>
  <c r="R43" i="2"/>
  <c r="Q43" i="2"/>
  <c r="F43" i="2"/>
  <c r="D43" i="2"/>
  <c r="C43" i="2"/>
  <c r="Q42" i="2"/>
  <c r="O42" i="2"/>
  <c r="N42" i="2"/>
  <c r="N88" i="2" s="1"/>
  <c r="L42" i="2"/>
  <c r="H42" i="2"/>
  <c r="W41" i="2"/>
  <c r="Q41" i="2"/>
  <c r="E41" i="2"/>
  <c r="T41" i="2" s="1"/>
  <c r="Q40" i="2"/>
  <c r="T40" i="2" s="1"/>
  <c r="Q39" i="2"/>
  <c r="T39" i="2" s="1"/>
  <c r="Q38" i="2"/>
  <c r="O38" i="2"/>
  <c r="T38" i="2" s="1"/>
  <c r="F38" i="2"/>
  <c r="Q37" i="2"/>
  <c r="T37" i="2" s="1"/>
  <c r="Q36" i="2"/>
  <c r="O36" i="2"/>
  <c r="H36" i="2"/>
  <c r="Q35" i="2"/>
  <c r="O35" i="2"/>
  <c r="H35" i="2"/>
  <c r="T35" i="2" s="1"/>
  <c r="W34" i="2"/>
  <c r="T34" i="2"/>
  <c r="Q33" i="2"/>
  <c r="O33" i="2"/>
  <c r="T33" i="2" s="1"/>
  <c r="W32" i="2"/>
  <c r="Q32" i="2"/>
  <c r="O32" i="2"/>
  <c r="H32" i="2"/>
  <c r="E32" i="2"/>
  <c r="W31" i="2"/>
  <c r="R31" i="2"/>
  <c r="Q31" i="2"/>
  <c r="O31" i="2"/>
  <c r="H31" i="2"/>
  <c r="W30" i="2"/>
  <c r="L30" i="2"/>
  <c r="T30" i="2" s="1"/>
  <c r="R29" i="2"/>
  <c r="Q29" i="2"/>
  <c r="T29" i="2" s="1"/>
  <c r="T28" i="2"/>
  <c r="Q28" i="2"/>
  <c r="O28" i="2"/>
  <c r="E28" i="2"/>
  <c r="T27" i="2"/>
  <c r="F27" i="2"/>
  <c r="E27" i="2"/>
  <c r="R26" i="2"/>
  <c r="Q26" i="2"/>
  <c r="L26" i="2"/>
  <c r="K26" i="2"/>
  <c r="F26" i="2"/>
  <c r="T25" i="2"/>
  <c r="O25" i="2"/>
  <c r="Q24" i="2"/>
  <c r="T24" i="2" s="1"/>
  <c r="W23" i="2"/>
  <c r="Q23" i="2"/>
  <c r="P23" i="2"/>
  <c r="O23" i="2"/>
  <c r="L23" i="2"/>
  <c r="E23" i="2"/>
  <c r="T23" i="2" s="1"/>
  <c r="Q22" i="2"/>
  <c r="G22" i="2"/>
  <c r="T22" i="2" s="1"/>
  <c r="P21" i="2"/>
  <c r="P88" i="2" s="1"/>
  <c r="F21" i="2"/>
  <c r="Q20" i="2"/>
  <c r="H20" i="2"/>
  <c r="F20" i="2"/>
  <c r="T20" i="2" s="1"/>
  <c r="W19" i="2"/>
  <c r="Q19" i="2"/>
  <c r="O19" i="2"/>
  <c r="H19" i="2"/>
  <c r="C19" i="2"/>
  <c r="R18" i="2"/>
  <c r="Q18" i="2"/>
  <c r="O18" i="2"/>
  <c r="K18" i="2"/>
  <c r="Q17" i="2"/>
  <c r="T17" i="2" s="1"/>
  <c r="Q16" i="2"/>
  <c r="O16" i="2"/>
  <c r="I16" i="2"/>
  <c r="I88" i="2" s="1"/>
  <c r="E16" i="2"/>
  <c r="T15" i="2"/>
  <c r="R15" i="2"/>
  <c r="Q15" i="2"/>
  <c r="F15" i="2"/>
  <c r="T14" i="2"/>
  <c r="Q14" i="2"/>
  <c r="P14" i="2"/>
  <c r="O14" i="2"/>
  <c r="X13" i="2"/>
  <c r="X88" i="2" s="1"/>
  <c r="W13" i="2"/>
  <c r="T13" i="2"/>
  <c r="W12" i="2"/>
  <c r="T12" i="2"/>
  <c r="Q12" i="2"/>
  <c r="O12" i="2"/>
  <c r="W11" i="2"/>
  <c r="T11" i="2"/>
  <c r="Q11" i="2"/>
  <c r="O11" i="2"/>
  <c r="H11" i="2"/>
  <c r="T10" i="2"/>
  <c r="O10" i="2"/>
  <c r="Q9" i="2"/>
  <c r="H9" i="2"/>
  <c r="T9" i="2" s="1"/>
  <c r="W8" i="2"/>
  <c r="E8" i="2"/>
  <c r="T8" i="2" s="1"/>
  <c r="Q7" i="2"/>
  <c r="H7" i="2"/>
  <c r="T7" i="2" s="1"/>
  <c r="W6" i="2"/>
  <c r="Q6" i="2"/>
  <c r="O6" i="2"/>
  <c r="T6" i="2" s="1"/>
  <c r="P26" i="1"/>
  <c r="P25" i="1"/>
  <c r="N25" i="1"/>
  <c r="L25" i="1"/>
  <c r="L27" i="1" s="1"/>
  <c r="J25" i="1"/>
  <c r="J27" i="1" s="1"/>
  <c r="H25" i="1"/>
  <c r="H27" i="1" s="1"/>
  <c r="F25" i="1"/>
  <c r="F27" i="1" s="1"/>
  <c r="E25" i="1"/>
  <c r="E27" i="1" s="1"/>
  <c r="D25" i="1"/>
  <c r="D27" i="1" s="1"/>
  <c r="C25" i="1"/>
  <c r="C27" i="1" s="1"/>
  <c r="B25" i="1"/>
  <c r="B27" i="1" s="1"/>
  <c r="F23" i="1"/>
  <c r="M23" i="1" s="1"/>
  <c r="M22" i="1"/>
  <c r="O21" i="1"/>
  <c r="K21" i="1"/>
  <c r="I21" i="1"/>
  <c r="G21" i="1"/>
  <c r="M21" i="1" s="1"/>
  <c r="J20" i="1"/>
  <c r="I20" i="1"/>
  <c r="I25" i="1" s="1"/>
  <c r="I27" i="1" s="1"/>
  <c r="G20" i="1"/>
  <c r="G25" i="1" s="1"/>
  <c r="G27" i="1" s="1"/>
  <c r="F20" i="1"/>
  <c r="M20" i="1" s="1"/>
  <c r="M19" i="1"/>
  <c r="M18" i="1"/>
  <c r="M17" i="1"/>
  <c r="K17" i="1"/>
  <c r="M16" i="1"/>
  <c r="O15" i="1"/>
  <c r="M15" i="1"/>
  <c r="C14" i="1"/>
  <c r="M14" i="1" s="1"/>
  <c r="M13" i="1"/>
  <c r="O12" i="1"/>
  <c r="O25" i="1" s="1"/>
  <c r="O27" i="1" s="1"/>
  <c r="K12" i="1"/>
  <c r="M12" i="1" s="1"/>
  <c r="M11" i="1"/>
  <c r="M10" i="1"/>
  <c r="P9" i="1"/>
  <c r="O8" i="1"/>
  <c r="K8" i="1"/>
  <c r="K25" i="1" s="1"/>
  <c r="K27" i="1" s="1"/>
  <c r="M7" i="1"/>
  <c r="Q88" i="2" l="1"/>
  <c r="F88" i="2"/>
  <c r="T16" i="2"/>
  <c r="T26" i="2"/>
  <c r="D88" i="2"/>
  <c r="G88" i="2"/>
  <c r="T31" i="2"/>
  <c r="T42" i="2"/>
  <c r="C88" i="2"/>
  <c r="T49" i="2"/>
  <c r="T57" i="2"/>
  <c r="T58" i="2"/>
  <c r="T59" i="2"/>
  <c r="T60" i="2"/>
  <c r="T81" i="2"/>
  <c r="T85" i="2"/>
  <c r="W88" i="2"/>
  <c r="W90" i="2" s="1"/>
  <c r="O88" i="2"/>
  <c r="R88" i="2"/>
  <c r="K88" i="2"/>
  <c r="T19" i="2"/>
  <c r="T21" i="2"/>
  <c r="T32" i="2"/>
  <c r="T36" i="2"/>
  <c r="T56" i="2"/>
  <c r="T62" i="2"/>
  <c r="T65" i="2"/>
  <c r="T67" i="2"/>
  <c r="T70" i="2"/>
  <c r="T73" i="2"/>
  <c r="T76" i="2"/>
  <c r="T18" i="2"/>
  <c r="T88" i="2" s="1"/>
  <c r="T91" i="2" s="1"/>
  <c r="H88" i="2"/>
  <c r="L88" i="2"/>
  <c r="T43" i="2"/>
  <c r="E88" i="2"/>
  <c r="M25" i="1"/>
  <c r="M27" i="1" s="1"/>
  <c r="M8" i="1"/>
  <c r="D91" i="2" l="1"/>
  <c r="D92" i="2" s="1"/>
</calcChain>
</file>

<file path=xl/sharedStrings.xml><?xml version="1.0" encoding="utf-8"?>
<sst xmlns="http://schemas.openxmlformats.org/spreadsheetml/2006/main" count="119" uniqueCount="102">
  <si>
    <t>RENDICONTO PAGAMENTO MIGLIORAMENTO OFFERTA FORMATIVA A.S. 2019/2020 ATA</t>
  </si>
  <si>
    <t>Personale</t>
  </si>
  <si>
    <t>Disabili A.A</t>
  </si>
  <si>
    <t>ATA A.A.</t>
  </si>
  <si>
    <t>Privacy AA</t>
  </si>
  <si>
    <t>Referente giuridico AA</t>
  </si>
  <si>
    <t>Prodotti pulizie</t>
  </si>
  <si>
    <t>Palestre</t>
  </si>
  <si>
    <t>Manutenzioni</t>
  </si>
  <si>
    <t>Sostituzione altro comune 20 a volta</t>
  </si>
  <si>
    <t>Alunno H Sec. Casina</t>
  </si>
  <si>
    <t>Disagio + sedi</t>
  </si>
  <si>
    <t>Sostituzione stesso comune</t>
  </si>
  <si>
    <t>Totale intensificazione</t>
  </si>
  <si>
    <t>DSGA</t>
  </si>
  <si>
    <t>Incarichi specifici</t>
  </si>
  <si>
    <t>Straordinario</t>
  </si>
  <si>
    <t>Note</t>
  </si>
  <si>
    <t>PAGATO</t>
  </si>
  <si>
    <t>CONTRATTATO</t>
  </si>
  <si>
    <t>ECONOMIE</t>
  </si>
  <si>
    <t>OK</t>
  </si>
  <si>
    <t>*</t>
  </si>
  <si>
    <t>Importo totale riparametrato a 6 mesi diviso tra chi ha fatto la dichiarazione</t>
  </si>
  <si>
    <t>RENDICONTO PAGAMENTO MIGLIORAMENTO OFFERTA FORMATIVA A.S. 2019/2020</t>
  </si>
  <si>
    <t>BILANCIO</t>
  </si>
  <si>
    <t>Cognome</t>
  </si>
  <si>
    <t>Collaborazioni</t>
  </si>
  <si>
    <t>Comm Formazione</t>
  </si>
  <si>
    <t>Comm PTOF</t>
  </si>
  <si>
    <t>Comm Sicurezza</t>
  </si>
  <si>
    <t>Comm H</t>
  </si>
  <si>
    <t>Comm GLI</t>
  </si>
  <si>
    <t>Comm Continuità</t>
  </si>
  <si>
    <t xml:space="preserve">Comm Ambiente </t>
  </si>
  <si>
    <t xml:space="preserve">Comm Mensa </t>
  </si>
  <si>
    <t>Comm Valutazione</t>
  </si>
  <si>
    <t>Comm Invalsi</t>
  </si>
  <si>
    <t>Responsabili plesso</t>
  </si>
  <si>
    <t>Referenti</t>
  </si>
  <si>
    <t>Flessibilità</t>
  </si>
  <si>
    <t>Tutor</t>
  </si>
  <si>
    <t>Progetti a 17,50</t>
  </si>
  <si>
    <t>Progetti a 35,00</t>
  </si>
  <si>
    <t>Totale FIS</t>
  </si>
  <si>
    <t>Funzioni strumentali</t>
  </si>
  <si>
    <t>Attività fisica</t>
  </si>
  <si>
    <t>Ore eccedenti</t>
  </si>
  <si>
    <t>Forte processo</t>
  </si>
  <si>
    <t>SICUREZZA</t>
  </si>
  <si>
    <t>Madrelingua/Neve natura</t>
  </si>
  <si>
    <t>matematica divertente</t>
  </si>
  <si>
    <t>Parole e regole/piccole cose belle/alfabetizzazione</t>
  </si>
  <si>
    <t>L'essenziale/Trame</t>
  </si>
  <si>
    <t>il bosco</t>
  </si>
  <si>
    <t>credito di fiducia</t>
  </si>
  <si>
    <t>viaggio intorno a me</t>
  </si>
  <si>
    <t>Accoglienza/ A tavola/spaghetti</t>
  </si>
  <si>
    <t>la costituzione/alfabetizzazione</t>
  </si>
  <si>
    <t>alfabetizzazione /commemorazione</t>
  </si>
  <si>
    <t>cittadinanza</t>
  </si>
  <si>
    <t>produciamo/ed. stradale</t>
  </si>
  <si>
    <t>Raccontare</t>
  </si>
  <si>
    <t>maggio in strada/musei civici</t>
  </si>
  <si>
    <t>matematica in gioco/matematica divertente</t>
  </si>
  <si>
    <t>il giro del cielo/trame</t>
  </si>
  <si>
    <t>Alfabetizzazione e continuità</t>
  </si>
  <si>
    <t>giornalisti/L'essenziale/agganciamoci</t>
  </si>
  <si>
    <t>Arcunta/il coraggio/documentare</t>
  </si>
  <si>
    <t>Teatro 25/10/2019 RE</t>
  </si>
  <si>
    <t>Giornalisti/L'essenziale/Bologna/recita Natale</t>
  </si>
  <si>
    <t>voci dal bosco/ed.stradale/canti natale</t>
  </si>
  <si>
    <t>Piccole cose belle/intorno a noi</t>
  </si>
  <si>
    <t>Montagna di sport/atelier/fabbrica</t>
  </si>
  <si>
    <t>latino/agganciamoci</t>
  </si>
  <si>
    <t>orientamento</t>
  </si>
  <si>
    <t>Agganciamoci</t>
  </si>
  <si>
    <t>Giornalisti/L'essenziale/Agganciamoci/trame di luce</t>
  </si>
  <si>
    <t>emergenza alfabetizzazione/alfabetizzazione e continuità</t>
  </si>
  <si>
    <t>recite paullo e casina</t>
  </si>
  <si>
    <t>produciamo</t>
  </si>
  <si>
    <t>prima a teatro</t>
  </si>
  <si>
    <t>valichi/alfabetizzazione/la costituzione</t>
  </si>
  <si>
    <t>voci dal bosco</t>
  </si>
  <si>
    <t>ed.stradale/musei e vigili</t>
  </si>
  <si>
    <t>musei</t>
  </si>
  <si>
    <t>Pronti si va in scena</t>
  </si>
  <si>
    <t>sessualità</t>
  </si>
  <si>
    <t>partiamo in quarta</t>
  </si>
  <si>
    <t>canti natale</t>
  </si>
  <si>
    <t>teatro casina /la costituzione/alfabetizzazione</t>
  </si>
  <si>
    <t>commemorazione IV novembre</t>
  </si>
  <si>
    <t>Accoglienza/ A tavola/spaghetti/la convivenza</t>
  </si>
  <si>
    <t>agganciamoci</t>
  </si>
  <si>
    <t>doposcuola</t>
  </si>
  <si>
    <t>aiuto in classe</t>
  </si>
  <si>
    <t>gemellaggio</t>
  </si>
  <si>
    <t>doni/officina/mi fido/continuamente?</t>
  </si>
  <si>
    <t>mi fido di te/officina</t>
  </si>
  <si>
    <t>NO</t>
  </si>
  <si>
    <t>utilizzo economie</t>
  </si>
  <si>
    <t>economia ripartita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</si>
</sst>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92"/>
  <sheetViews>
    <sheetView topLeftCell="A16" workbookViewId="0">
      <selection activeCell="E2" sqref="E2"/>
    </sheetView>
  </sheetViews>
  <sheetFormatPr defaultRowHeight="15" x14ac:dyDescent="0.25"/>
  <cols>
    <col min="1" max="1" width="11.42578125" style="5" customWidth="1"/>
    <col min="2" max="2" width="13.42578125" style="2" customWidth="1"/>
    <col min="3" max="3" width="13.28515625" style="2" customWidth="1"/>
    <col min="4" max="4" width="11.28515625" style="2" customWidth="1"/>
    <col min="5" max="5" width="10" style="2" customWidth="1"/>
    <col min="6" max="6" width="10.42578125" style="2" customWidth="1"/>
    <col min="7" max="7" width="9.85546875" style="2" customWidth="1"/>
    <col min="8" max="8" width="10.5703125" style="2" customWidth="1"/>
    <col min="9" max="9" width="10.140625" style="2" customWidth="1"/>
    <col min="10" max="10" width="9.140625" style="2"/>
    <col min="11" max="12" width="11.42578125" style="2" customWidth="1"/>
    <col min="13" max="13" width="12.140625" style="2" customWidth="1"/>
    <col min="14" max="14" width="9.140625" style="2"/>
    <col min="15" max="15" width="12.42578125" style="2" customWidth="1"/>
    <col min="16" max="16" width="8.85546875" style="2" customWidth="1"/>
    <col min="17" max="18" width="9.140625" style="2"/>
    <col min="19" max="19" width="30.7109375" style="38" customWidth="1"/>
    <col min="20" max="20" width="11.85546875" style="2" customWidth="1"/>
    <col min="21" max="21" width="12" style="2" customWidth="1"/>
    <col min="22" max="22" width="9.140625" style="2"/>
    <col min="23" max="23" width="12.5703125" style="2" customWidth="1"/>
    <col min="24" max="24" width="9.140625" style="2"/>
    <col min="25" max="25" width="11.85546875" style="4" customWidth="1"/>
    <col min="26" max="16384" width="9.140625" style="2"/>
  </cols>
  <sheetData>
    <row r="2" spans="1:25" ht="18.75" x14ac:dyDescent="0.25">
      <c r="A2" s="1" t="s">
        <v>24</v>
      </c>
    </row>
    <row r="4" spans="1:25" x14ac:dyDescent="0.25">
      <c r="Y4" s="46" t="s">
        <v>25</v>
      </c>
    </row>
    <row r="5" spans="1:25" s="13" customFormat="1" ht="45" x14ac:dyDescent="0.25">
      <c r="A5" s="14" t="s">
        <v>26</v>
      </c>
      <c r="B5" s="15" t="s">
        <v>27</v>
      </c>
      <c r="C5" s="15" t="s">
        <v>28</v>
      </c>
      <c r="D5" s="15" t="s">
        <v>29</v>
      </c>
      <c r="E5" s="15" t="s">
        <v>30</v>
      </c>
      <c r="F5" s="15" t="s">
        <v>31</v>
      </c>
      <c r="G5" s="15" t="s">
        <v>32</v>
      </c>
      <c r="H5" s="15" t="s">
        <v>33</v>
      </c>
      <c r="I5" s="15" t="s">
        <v>34</v>
      </c>
      <c r="J5" s="15" t="s">
        <v>35</v>
      </c>
      <c r="K5" s="15" t="s">
        <v>36</v>
      </c>
      <c r="L5" s="15" t="s">
        <v>37</v>
      </c>
      <c r="M5" s="15" t="s">
        <v>38</v>
      </c>
      <c r="N5" s="15" t="s">
        <v>39</v>
      </c>
      <c r="O5" s="15" t="s">
        <v>40</v>
      </c>
      <c r="P5" s="15" t="s">
        <v>41</v>
      </c>
      <c r="Q5" s="15" t="s">
        <v>42</v>
      </c>
      <c r="R5" s="15" t="s">
        <v>43</v>
      </c>
      <c r="S5" s="15" t="s">
        <v>17</v>
      </c>
      <c r="T5" s="16" t="s">
        <v>44</v>
      </c>
      <c r="U5" s="15" t="s">
        <v>45</v>
      </c>
      <c r="V5" s="15" t="s">
        <v>46</v>
      </c>
      <c r="W5" s="15" t="s">
        <v>47</v>
      </c>
      <c r="X5" s="15" t="s">
        <v>48</v>
      </c>
      <c r="Y5" s="17" t="s">
        <v>49</v>
      </c>
    </row>
    <row r="6" spans="1:25" s="4" customFormat="1" x14ac:dyDescent="0.25">
      <c r="A6" s="18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>
        <f>21*17.5</f>
        <v>367.5</v>
      </c>
      <c r="P6" s="28"/>
      <c r="Q6" s="28">
        <f>14*17.5</f>
        <v>245</v>
      </c>
      <c r="R6" s="28"/>
      <c r="S6" s="40" t="s">
        <v>50</v>
      </c>
      <c r="T6" s="29">
        <f>SUM(B6:R6)</f>
        <v>612.5</v>
      </c>
      <c r="U6" s="28"/>
      <c r="V6" s="28"/>
      <c r="W6" s="28">
        <f>1*27.09</f>
        <v>27.09</v>
      </c>
      <c r="X6" s="28"/>
      <c r="Y6" s="30"/>
    </row>
    <row r="7" spans="1:25" s="4" customFormat="1" x14ac:dyDescent="0.25">
      <c r="A7" s="18">
        <v>2</v>
      </c>
      <c r="B7" s="28"/>
      <c r="C7" s="28"/>
      <c r="D7" s="28"/>
      <c r="E7" s="28"/>
      <c r="F7" s="28"/>
      <c r="G7" s="28"/>
      <c r="H7" s="28">
        <f>3.5*17.5</f>
        <v>61.25</v>
      </c>
      <c r="I7" s="28"/>
      <c r="J7" s="28"/>
      <c r="K7" s="28"/>
      <c r="L7" s="28"/>
      <c r="M7" s="28"/>
      <c r="N7" s="28"/>
      <c r="O7" s="28"/>
      <c r="P7" s="28"/>
      <c r="Q7" s="28">
        <f>1*17.5</f>
        <v>17.5</v>
      </c>
      <c r="R7" s="28"/>
      <c r="S7" s="40" t="s">
        <v>51</v>
      </c>
      <c r="T7" s="29">
        <f t="shared" ref="T7:T65" si="0">SUM(B7:R7)</f>
        <v>78.75</v>
      </c>
      <c r="U7" s="28"/>
      <c r="V7" s="28"/>
      <c r="W7" s="28"/>
      <c r="X7" s="28"/>
      <c r="Y7" s="30"/>
    </row>
    <row r="8" spans="1:25" s="4" customFormat="1" x14ac:dyDescent="0.25">
      <c r="A8" s="18">
        <v>3</v>
      </c>
      <c r="B8" s="28"/>
      <c r="C8" s="28"/>
      <c r="D8" s="28"/>
      <c r="E8" s="28">
        <f>2*17.5</f>
        <v>35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0"/>
      <c r="T8" s="29">
        <f t="shared" si="0"/>
        <v>35</v>
      </c>
      <c r="U8" s="28"/>
      <c r="V8" s="28"/>
      <c r="W8" s="28">
        <f>3*27.09</f>
        <v>81.27</v>
      </c>
      <c r="X8" s="28"/>
      <c r="Y8" s="30">
        <v>105</v>
      </c>
    </row>
    <row r="9" spans="1:25" ht="30" x14ac:dyDescent="0.25">
      <c r="A9" s="18">
        <v>4</v>
      </c>
      <c r="B9" s="28"/>
      <c r="C9" s="28"/>
      <c r="D9" s="28"/>
      <c r="E9" s="28"/>
      <c r="F9" s="28"/>
      <c r="G9" s="28"/>
      <c r="H9" s="28">
        <f>4*17.5</f>
        <v>70</v>
      </c>
      <c r="I9" s="28"/>
      <c r="J9" s="28"/>
      <c r="K9" s="28"/>
      <c r="L9" s="28"/>
      <c r="M9" s="28"/>
      <c r="N9" s="28"/>
      <c r="O9" s="28"/>
      <c r="P9" s="28"/>
      <c r="Q9" s="28">
        <f>13*17.5</f>
        <v>227.5</v>
      </c>
      <c r="R9" s="28"/>
      <c r="S9" s="40" t="s">
        <v>52</v>
      </c>
      <c r="T9" s="29">
        <f t="shared" si="0"/>
        <v>297.5</v>
      </c>
      <c r="U9" s="28"/>
      <c r="V9" s="28"/>
      <c r="W9" s="28"/>
      <c r="X9" s="28"/>
      <c r="Y9" s="30"/>
    </row>
    <row r="10" spans="1:25" x14ac:dyDescent="0.25">
      <c r="A10" s="18">
        <v>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>
        <f>3*17.5</f>
        <v>52.5</v>
      </c>
      <c r="P10" s="28"/>
      <c r="Q10" s="28"/>
      <c r="R10" s="28"/>
      <c r="S10" s="40"/>
      <c r="T10" s="29">
        <f t="shared" si="0"/>
        <v>52.5</v>
      </c>
      <c r="U10" s="28"/>
      <c r="V10" s="28"/>
      <c r="W10" s="28"/>
      <c r="X10" s="28"/>
      <c r="Y10" s="30"/>
    </row>
    <row r="11" spans="1:25" x14ac:dyDescent="0.25">
      <c r="A11" s="18">
        <v>6</v>
      </c>
      <c r="B11" s="28"/>
      <c r="C11" s="28"/>
      <c r="D11" s="28"/>
      <c r="E11" s="28"/>
      <c r="F11" s="28"/>
      <c r="G11" s="28"/>
      <c r="H11" s="28">
        <f>6*17.5</f>
        <v>105</v>
      </c>
      <c r="I11" s="28"/>
      <c r="J11" s="28"/>
      <c r="K11" s="28"/>
      <c r="L11" s="28"/>
      <c r="M11" s="28"/>
      <c r="N11" s="28"/>
      <c r="O11" s="28">
        <f>10*17.5</f>
        <v>175</v>
      </c>
      <c r="P11" s="28"/>
      <c r="Q11" s="28">
        <f>4*17.5</f>
        <v>70</v>
      </c>
      <c r="R11" s="28"/>
      <c r="S11" s="40" t="s">
        <v>53</v>
      </c>
      <c r="T11" s="29">
        <f t="shared" si="0"/>
        <v>350</v>
      </c>
      <c r="U11" s="28"/>
      <c r="V11" s="28"/>
      <c r="W11" s="28">
        <f>2*18.65</f>
        <v>37.299999999999997</v>
      </c>
      <c r="X11" s="28"/>
      <c r="Y11" s="30"/>
    </row>
    <row r="12" spans="1:25" x14ac:dyDescent="0.25">
      <c r="A12" s="18">
        <v>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f>5.5*17.5</f>
        <v>96.25</v>
      </c>
      <c r="P12" s="30"/>
      <c r="Q12" s="30">
        <f>7*17.5</f>
        <v>122.5</v>
      </c>
      <c r="R12" s="30"/>
      <c r="S12" s="40" t="s">
        <v>54</v>
      </c>
      <c r="T12" s="29">
        <f t="shared" si="0"/>
        <v>218.75</v>
      </c>
      <c r="U12" s="30"/>
      <c r="V12" s="30"/>
      <c r="W12" s="30">
        <f>1*18.03</f>
        <v>18.03</v>
      </c>
      <c r="X12" s="30"/>
      <c r="Y12" s="30"/>
    </row>
    <row r="13" spans="1:25" x14ac:dyDescent="0.25">
      <c r="A13" s="18">
        <v>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40"/>
      <c r="T13" s="29">
        <f t="shared" si="0"/>
        <v>0</v>
      </c>
      <c r="U13" s="30"/>
      <c r="V13" s="30"/>
      <c r="W13" s="30">
        <f>4*27.09</f>
        <v>108.36</v>
      </c>
      <c r="X13" s="30">
        <f>3*17.5+25*35</f>
        <v>927.5</v>
      </c>
      <c r="Y13" s="30"/>
    </row>
    <row r="14" spans="1:25" x14ac:dyDescent="0.25">
      <c r="A14" s="18">
        <v>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f>2*17.5</f>
        <v>35</v>
      </c>
      <c r="P14" s="30">
        <f>180+45</f>
        <v>225</v>
      </c>
      <c r="Q14" s="30">
        <f>4*17.5</f>
        <v>70</v>
      </c>
      <c r="R14" s="30"/>
      <c r="S14" s="41" t="s">
        <v>55</v>
      </c>
      <c r="T14" s="29">
        <f t="shared" si="0"/>
        <v>330</v>
      </c>
      <c r="U14" s="30"/>
      <c r="V14" s="30"/>
      <c r="W14" s="30"/>
      <c r="X14" s="30"/>
      <c r="Y14" s="30"/>
    </row>
    <row r="15" spans="1:25" x14ac:dyDescent="0.25">
      <c r="A15" s="18">
        <v>10</v>
      </c>
      <c r="B15" s="30"/>
      <c r="C15" s="30"/>
      <c r="D15" s="30"/>
      <c r="E15" s="30"/>
      <c r="F15" s="30">
        <f>1*17.5</f>
        <v>17.5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>
        <f>6*17.5</f>
        <v>105</v>
      </c>
      <c r="R15" s="30">
        <f>5*35</f>
        <v>175</v>
      </c>
      <c r="S15" s="40" t="s">
        <v>56</v>
      </c>
      <c r="T15" s="29">
        <f t="shared" si="0"/>
        <v>297.5</v>
      </c>
      <c r="U15" s="30"/>
      <c r="V15" s="30"/>
      <c r="W15" s="30"/>
      <c r="X15" s="30"/>
      <c r="Y15" s="30"/>
    </row>
    <row r="16" spans="1:25" x14ac:dyDescent="0.25">
      <c r="A16" s="18">
        <v>11</v>
      </c>
      <c r="B16" s="30"/>
      <c r="C16" s="30"/>
      <c r="D16" s="30"/>
      <c r="E16" s="30">
        <f>3*17.5</f>
        <v>52.5</v>
      </c>
      <c r="F16" s="30"/>
      <c r="G16" s="30"/>
      <c r="H16" s="30"/>
      <c r="I16" s="30">
        <f>20*17.5</f>
        <v>350</v>
      </c>
      <c r="J16" s="30"/>
      <c r="K16" s="30"/>
      <c r="L16" s="30"/>
      <c r="M16" s="30"/>
      <c r="N16" s="31">
        <v>175</v>
      </c>
      <c r="O16" s="30">
        <f>2*17.5</f>
        <v>35</v>
      </c>
      <c r="P16" s="30"/>
      <c r="Q16" s="30">
        <f>12*17.5</f>
        <v>210</v>
      </c>
      <c r="R16" s="30"/>
      <c r="S16" s="42"/>
      <c r="T16" s="29">
        <f t="shared" si="0"/>
        <v>822.5</v>
      </c>
      <c r="U16" s="30"/>
      <c r="V16" s="30"/>
      <c r="W16" s="30"/>
      <c r="X16" s="30"/>
      <c r="Y16" s="30">
        <v>105</v>
      </c>
    </row>
    <row r="17" spans="1:25" x14ac:dyDescent="0.25">
      <c r="A17" s="18">
        <v>12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>
        <f>5*17.5</f>
        <v>87.5</v>
      </c>
      <c r="R17" s="30"/>
      <c r="S17" s="40" t="s">
        <v>57</v>
      </c>
      <c r="T17" s="29">
        <f t="shared" si="0"/>
        <v>87.5</v>
      </c>
      <c r="U17" s="30"/>
      <c r="V17" s="30"/>
      <c r="W17" s="30"/>
      <c r="X17" s="30"/>
      <c r="Y17" s="30">
        <v>105</v>
      </c>
    </row>
    <row r="18" spans="1:25" x14ac:dyDescent="0.25">
      <c r="A18" s="18">
        <v>13</v>
      </c>
      <c r="B18" s="30"/>
      <c r="C18" s="30"/>
      <c r="D18" s="30"/>
      <c r="E18" s="30"/>
      <c r="F18" s="30"/>
      <c r="G18" s="30"/>
      <c r="H18" s="30"/>
      <c r="I18" s="30"/>
      <c r="J18" s="30"/>
      <c r="K18" s="30">
        <f>8*17.5</f>
        <v>140</v>
      </c>
      <c r="L18" s="30"/>
      <c r="M18" s="30"/>
      <c r="N18" s="30"/>
      <c r="O18" s="30">
        <f>4*17.5</f>
        <v>70</v>
      </c>
      <c r="P18" s="30"/>
      <c r="Q18" s="30">
        <f>4*17.5</f>
        <v>70</v>
      </c>
      <c r="R18" s="30">
        <f>2*35</f>
        <v>70</v>
      </c>
      <c r="S18" s="40" t="s">
        <v>58</v>
      </c>
      <c r="T18" s="29">
        <f t="shared" si="0"/>
        <v>350</v>
      </c>
      <c r="U18" s="30">
        <v>881.04</v>
      </c>
      <c r="V18" s="30"/>
      <c r="W18" s="30"/>
      <c r="X18" s="30"/>
      <c r="Y18" s="30"/>
    </row>
    <row r="19" spans="1:25" ht="30" x14ac:dyDescent="0.25">
      <c r="A19" s="18">
        <v>14</v>
      </c>
      <c r="B19" s="30"/>
      <c r="C19" s="30">
        <f>1*17.5</f>
        <v>17.5</v>
      </c>
      <c r="D19" s="30"/>
      <c r="E19" s="30"/>
      <c r="F19" s="30"/>
      <c r="G19" s="30"/>
      <c r="H19" s="30">
        <f>6*17.5</f>
        <v>105</v>
      </c>
      <c r="I19" s="30"/>
      <c r="J19" s="30"/>
      <c r="K19" s="30"/>
      <c r="L19" s="30"/>
      <c r="M19" s="30"/>
      <c r="N19" s="30">
        <v>175</v>
      </c>
      <c r="O19" s="30">
        <f>24*17.5</f>
        <v>420</v>
      </c>
      <c r="P19" s="30"/>
      <c r="Q19" s="30">
        <f>7*17.5</f>
        <v>122.5</v>
      </c>
      <c r="R19" s="30">
        <v>350</v>
      </c>
      <c r="S19" s="40" t="s">
        <v>59</v>
      </c>
      <c r="T19" s="29">
        <f t="shared" si="0"/>
        <v>1190</v>
      </c>
      <c r="U19" s="30"/>
      <c r="V19" s="30"/>
      <c r="W19" s="30">
        <f>5*27.09</f>
        <v>135.44999999999999</v>
      </c>
      <c r="X19" s="30"/>
      <c r="Y19" s="30"/>
    </row>
    <row r="20" spans="1:25" x14ac:dyDescent="0.25">
      <c r="A20" s="18">
        <v>15</v>
      </c>
      <c r="B20" s="30"/>
      <c r="C20" s="30"/>
      <c r="D20" s="30"/>
      <c r="E20" s="30"/>
      <c r="F20" s="30">
        <f>1.5*17.5</f>
        <v>26.25</v>
      </c>
      <c r="G20" s="30"/>
      <c r="H20" s="30">
        <f>1.5*17.5</f>
        <v>26.25</v>
      </c>
      <c r="I20" s="30"/>
      <c r="J20" s="30"/>
      <c r="K20" s="30"/>
      <c r="L20" s="30"/>
      <c r="M20" s="30"/>
      <c r="N20" s="30"/>
      <c r="O20" s="30"/>
      <c r="P20" s="30"/>
      <c r="Q20" s="30">
        <f>3*17.5</f>
        <v>52.5</v>
      </c>
      <c r="R20" s="30"/>
      <c r="S20" s="40" t="s">
        <v>60</v>
      </c>
      <c r="T20" s="29">
        <f t="shared" si="0"/>
        <v>105</v>
      </c>
      <c r="U20" s="30"/>
      <c r="V20" s="30"/>
      <c r="W20" s="30"/>
      <c r="X20" s="30"/>
      <c r="Y20" s="30"/>
    </row>
    <row r="21" spans="1:25" x14ac:dyDescent="0.25">
      <c r="A21" s="18">
        <v>16</v>
      </c>
      <c r="B21" s="30"/>
      <c r="C21" s="30"/>
      <c r="D21" s="30"/>
      <c r="E21" s="30"/>
      <c r="F21" s="30">
        <f>2*17.5</f>
        <v>35</v>
      </c>
      <c r="G21" s="30"/>
      <c r="H21" s="30"/>
      <c r="I21" s="30"/>
      <c r="J21" s="30"/>
      <c r="K21" s="30"/>
      <c r="L21" s="30"/>
      <c r="M21" s="30"/>
      <c r="N21" s="30"/>
      <c r="O21" s="30"/>
      <c r="P21" s="30">
        <f>180+45</f>
        <v>225</v>
      </c>
      <c r="Q21" s="30"/>
      <c r="R21" s="30"/>
      <c r="S21" s="40"/>
      <c r="T21" s="29">
        <f t="shared" si="0"/>
        <v>260</v>
      </c>
      <c r="U21" s="30"/>
      <c r="V21" s="30"/>
      <c r="W21" s="30"/>
      <c r="X21" s="30"/>
      <c r="Y21" s="30"/>
    </row>
    <row r="22" spans="1:25" x14ac:dyDescent="0.25">
      <c r="A22" s="18">
        <v>17</v>
      </c>
      <c r="B22" s="30"/>
      <c r="C22" s="30"/>
      <c r="D22" s="30"/>
      <c r="E22" s="30"/>
      <c r="F22" s="30"/>
      <c r="G22" s="30">
        <f>4*17.5</f>
        <v>70</v>
      </c>
      <c r="H22" s="30"/>
      <c r="I22" s="30"/>
      <c r="J22" s="30"/>
      <c r="K22" s="30"/>
      <c r="L22" s="30"/>
      <c r="M22" s="30"/>
      <c r="N22" s="30"/>
      <c r="O22" s="30"/>
      <c r="P22" s="30"/>
      <c r="Q22" s="30">
        <f>1*17.5</f>
        <v>17.5</v>
      </c>
      <c r="R22" s="30"/>
      <c r="S22" s="40" t="s">
        <v>61</v>
      </c>
      <c r="T22" s="29">
        <f t="shared" si="0"/>
        <v>87.5</v>
      </c>
      <c r="U22" s="30"/>
      <c r="V22" s="30"/>
      <c r="W22" s="30"/>
      <c r="X22" s="30"/>
      <c r="Y22" s="30"/>
    </row>
    <row r="23" spans="1:25" x14ac:dyDescent="0.25">
      <c r="A23" s="18">
        <v>18</v>
      </c>
      <c r="B23" s="30"/>
      <c r="C23" s="30"/>
      <c r="D23" s="30"/>
      <c r="E23" s="30">
        <f>2.5*17.5</f>
        <v>43.75</v>
      </c>
      <c r="F23" s="30"/>
      <c r="G23" s="30"/>
      <c r="H23" s="30"/>
      <c r="I23" s="30"/>
      <c r="J23" s="30"/>
      <c r="K23" s="30"/>
      <c r="L23" s="30">
        <f>2*17.5</f>
        <v>35</v>
      </c>
      <c r="M23" s="30"/>
      <c r="N23" s="30"/>
      <c r="O23" s="30">
        <f>38.5*17.5</f>
        <v>673.75</v>
      </c>
      <c r="P23" s="30">
        <f>180+45</f>
        <v>225</v>
      </c>
      <c r="Q23" s="30">
        <f>1*17.5</f>
        <v>17.5</v>
      </c>
      <c r="R23" s="30"/>
      <c r="S23" s="40" t="s">
        <v>51</v>
      </c>
      <c r="T23" s="29">
        <f t="shared" si="0"/>
        <v>995</v>
      </c>
      <c r="U23" s="30"/>
      <c r="V23" s="30"/>
      <c r="W23" s="30">
        <f>1*27.09</f>
        <v>27.09</v>
      </c>
      <c r="X23" s="30"/>
      <c r="Y23" s="30">
        <v>105</v>
      </c>
    </row>
    <row r="24" spans="1:25" x14ac:dyDescent="0.25">
      <c r="A24" s="18">
        <v>19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>
        <f>7*17.5</f>
        <v>122.5</v>
      </c>
      <c r="R24" s="30"/>
      <c r="S24" s="40" t="s">
        <v>62</v>
      </c>
      <c r="T24" s="29">
        <f t="shared" si="0"/>
        <v>122.5</v>
      </c>
      <c r="U24" s="30"/>
      <c r="V24" s="30"/>
      <c r="W24" s="30"/>
      <c r="X24" s="30"/>
      <c r="Y24" s="30"/>
    </row>
    <row r="25" spans="1:25" x14ac:dyDescent="0.25">
      <c r="A25" s="18">
        <v>20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>
        <f>5.5*17.5</f>
        <v>96.25</v>
      </c>
      <c r="P25" s="30"/>
      <c r="Q25" s="30"/>
      <c r="R25" s="30"/>
      <c r="S25" s="40" t="s">
        <v>63</v>
      </c>
      <c r="T25" s="29">
        <f t="shared" si="0"/>
        <v>96.25</v>
      </c>
      <c r="U25" s="30"/>
      <c r="V25" s="30"/>
      <c r="W25" s="30"/>
      <c r="X25" s="30"/>
      <c r="Y25" s="30"/>
    </row>
    <row r="26" spans="1:25" ht="30" x14ac:dyDescent="0.25">
      <c r="A26" s="18">
        <v>21</v>
      </c>
      <c r="B26" s="30"/>
      <c r="C26" s="30"/>
      <c r="D26" s="30"/>
      <c r="E26" s="30"/>
      <c r="F26" s="30">
        <f>1.5*17.5</f>
        <v>26.25</v>
      </c>
      <c r="G26" s="30"/>
      <c r="H26" s="30"/>
      <c r="I26" s="30"/>
      <c r="J26" s="30"/>
      <c r="K26" s="30">
        <f>8*17.5</f>
        <v>140</v>
      </c>
      <c r="L26" s="30">
        <f>2*17.5</f>
        <v>35</v>
      </c>
      <c r="M26" s="30"/>
      <c r="N26" s="30"/>
      <c r="O26" s="30"/>
      <c r="P26" s="30"/>
      <c r="Q26" s="30">
        <f>6*17.5</f>
        <v>105</v>
      </c>
      <c r="R26" s="30">
        <f>12*35</f>
        <v>420</v>
      </c>
      <c r="S26" s="40" t="s">
        <v>64</v>
      </c>
      <c r="T26" s="29">
        <f t="shared" si="0"/>
        <v>726.25</v>
      </c>
      <c r="U26" s="30"/>
      <c r="V26" s="30"/>
      <c r="W26" s="30"/>
      <c r="X26" s="30"/>
      <c r="Y26" s="30"/>
    </row>
    <row r="27" spans="1:25" x14ac:dyDescent="0.25">
      <c r="A27" s="18">
        <v>22</v>
      </c>
      <c r="B27" s="30"/>
      <c r="C27" s="30"/>
      <c r="D27" s="30"/>
      <c r="E27" s="30">
        <f>1*17.5</f>
        <v>17.5</v>
      </c>
      <c r="F27" s="30">
        <f>1.5*17.5</f>
        <v>26.25</v>
      </c>
      <c r="G27" s="30"/>
      <c r="H27" s="30"/>
      <c r="I27" s="30"/>
      <c r="J27" s="30"/>
      <c r="K27" s="30"/>
      <c r="L27" s="30"/>
      <c r="M27" s="30">
        <v>1025</v>
      </c>
      <c r="N27" s="30"/>
      <c r="O27" s="30"/>
      <c r="P27" s="30"/>
      <c r="Q27" s="30"/>
      <c r="R27" s="30"/>
      <c r="S27" s="40"/>
      <c r="T27" s="29">
        <f t="shared" si="0"/>
        <v>1068.75</v>
      </c>
      <c r="U27" s="30"/>
      <c r="V27" s="30"/>
      <c r="W27" s="30"/>
      <c r="X27" s="30"/>
      <c r="Y27" s="30">
        <v>61.25</v>
      </c>
    </row>
    <row r="28" spans="1:25" ht="14.25" customHeight="1" x14ac:dyDescent="0.25">
      <c r="A28" s="18">
        <v>23</v>
      </c>
      <c r="B28" s="30"/>
      <c r="C28" s="30"/>
      <c r="D28" s="30"/>
      <c r="E28" s="30">
        <f>3*17.5</f>
        <v>52.5</v>
      </c>
      <c r="F28" s="30"/>
      <c r="G28" s="30"/>
      <c r="H28" s="30"/>
      <c r="I28" s="30"/>
      <c r="J28" s="30"/>
      <c r="K28" s="30"/>
      <c r="L28" s="30"/>
      <c r="M28" s="30">
        <v>200</v>
      </c>
      <c r="N28" s="30"/>
      <c r="O28" s="30">
        <f>8*17.5</f>
        <v>140</v>
      </c>
      <c r="P28" s="30"/>
      <c r="Q28" s="30">
        <f>13*17.5</f>
        <v>227.5</v>
      </c>
      <c r="R28" s="30"/>
      <c r="S28" s="40" t="s">
        <v>65</v>
      </c>
      <c r="T28" s="29">
        <f t="shared" si="0"/>
        <v>620</v>
      </c>
      <c r="U28" s="30"/>
      <c r="V28" s="30"/>
      <c r="W28" s="30"/>
      <c r="X28" s="30"/>
      <c r="Y28" s="30">
        <v>105</v>
      </c>
    </row>
    <row r="29" spans="1:25" ht="14.25" customHeight="1" x14ac:dyDescent="0.25">
      <c r="A29" s="18">
        <v>24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>
        <f>4*17.5</f>
        <v>70</v>
      </c>
      <c r="R29" s="30">
        <f>4*35</f>
        <v>140</v>
      </c>
      <c r="S29" s="40" t="s">
        <v>66</v>
      </c>
      <c r="T29" s="29">
        <f t="shared" si="0"/>
        <v>210</v>
      </c>
      <c r="U29" s="30"/>
      <c r="V29" s="30"/>
      <c r="W29" s="30"/>
      <c r="X29" s="30"/>
      <c r="Y29" s="30"/>
    </row>
    <row r="30" spans="1:25" ht="14.25" customHeight="1" x14ac:dyDescent="0.25">
      <c r="A30" s="18">
        <v>25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>
        <f>2*17.5</f>
        <v>35</v>
      </c>
      <c r="M30" s="30"/>
      <c r="N30" s="30"/>
      <c r="O30" s="30"/>
      <c r="P30" s="30"/>
      <c r="Q30" s="32"/>
      <c r="R30" s="30"/>
      <c r="S30" s="40"/>
      <c r="T30" s="29">
        <f t="shared" si="0"/>
        <v>35</v>
      </c>
      <c r="U30" s="30"/>
      <c r="V30" s="30"/>
      <c r="W30" s="30">
        <f>1*27.09</f>
        <v>27.09</v>
      </c>
      <c r="X30" s="30"/>
      <c r="Y30" s="30"/>
    </row>
    <row r="31" spans="1:25" ht="24.75" customHeight="1" x14ac:dyDescent="0.25">
      <c r="A31" s="18">
        <v>26</v>
      </c>
      <c r="B31" s="30"/>
      <c r="C31" s="30"/>
      <c r="D31" s="30"/>
      <c r="E31" s="30"/>
      <c r="F31" s="30"/>
      <c r="G31" s="30"/>
      <c r="H31" s="30">
        <f>6*17.5</f>
        <v>105</v>
      </c>
      <c r="I31" s="30"/>
      <c r="J31" s="30"/>
      <c r="K31" s="30"/>
      <c r="L31" s="30"/>
      <c r="M31" s="30">
        <v>350</v>
      </c>
      <c r="N31" s="30"/>
      <c r="O31" s="30">
        <f>9*17.5</f>
        <v>157.5</v>
      </c>
      <c r="P31" s="30"/>
      <c r="Q31" s="30">
        <f>13*17.5</f>
        <v>227.5</v>
      </c>
      <c r="R31" s="30">
        <f>5*35</f>
        <v>175</v>
      </c>
      <c r="S31" s="40" t="s">
        <v>67</v>
      </c>
      <c r="T31" s="29">
        <f t="shared" si="0"/>
        <v>1015</v>
      </c>
      <c r="U31" s="30">
        <v>440.52</v>
      </c>
      <c r="V31" s="30"/>
      <c r="W31" s="30">
        <f>2*18.65</f>
        <v>37.299999999999997</v>
      </c>
      <c r="X31" s="30"/>
      <c r="Y31" s="30"/>
    </row>
    <row r="32" spans="1:25" ht="30" x14ac:dyDescent="0.25">
      <c r="A32" s="18">
        <v>27</v>
      </c>
      <c r="B32" s="30"/>
      <c r="C32" s="30"/>
      <c r="D32" s="30"/>
      <c r="E32" s="30">
        <f>3*17.5</f>
        <v>52.5</v>
      </c>
      <c r="F32" s="30"/>
      <c r="G32" s="30"/>
      <c r="H32" s="30">
        <f>4.5*17.5</f>
        <v>78.75</v>
      </c>
      <c r="I32" s="30"/>
      <c r="J32" s="30"/>
      <c r="K32" s="30"/>
      <c r="L32" s="30"/>
      <c r="M32" s="30">
        <v>300</v>
      </c>
      <c r="N32" s="30"/>
      <c r="O32" s="30">
        <f>5*17.5</f>
        <v>87.5</v>
      </c>
      <c r="P32" s="30"/>
      <c r="Q32" s="30">
        <f>11*17.5</f>
        <v>192.5</v>
      </c>
      <c r="R32" s="30"/>
      <c r="S32" s="40" t="s">
        <v>68</v>
      </c>
      <c r="T32" s="29">
        <f t="shared" si="0"/>
        <v>711.25</v>
      </c>
      <c r="U32" s="30"/>
      <c r="V32" s="30"/>
      <c r="W32" s="30">
        <f>10.5*18.03</f>
        <v>189.315</v>
      </c>
      <c r="X32" s="30"/>
      <c r="Y32" s="30">
        <v>105</v>
      </c>
    </row>
    <row r="33" spans="1:25" x14ac:dyDescent="0.25">
      <c r="A33" s="18">
        <v>28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>
        <f>5*17.5</f>
        <v>87.5</v>
      </c>
      <c r="P33" s="31"/>
      <c r="Q33" s="31">
        <f>2*17.5</f>
        <v>35</v>
      </c>
      <c r="R33" s="31"/>
      <c r="S33" s="41" t="s">
        <v>69</v>
      </c>
      <c r="T33" s="29">
        <f t="shared" si="0"/>
        <v>122.5</v>
      </c>
      <c r="U33" s="30"/>
      <c r="V33" s="30"/>
      <c r="W33" s="30"/>
      <c r="X33" s="30"/>
      <c r="Y33" s="30"/>
    </row>
    <row r="34" spans="1:25" x14ac:dyDescent="0.25">
      <c r="A34" s="18">
        <v>29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2"/>
      <c r="P34" s="32"/>
      <c r="Q34" s="32"/>
      <c r="R34" s="32"/>
      <c r="S34" s="42"/>
      <c r="T34" s="29">
        <f t="shared" si="0"/>
        <v>0</v>
      </c>
      <c r="U34" s="30"/>
      <c r="V34" s="30"/>
      <c r="W34" s="30">
        <f>5*27.09</f>
        <v>135.44999999999999</v>
      </c>
      <c r="X34" s="30"/>
      <c r="Y34" s="30"/>
    </row>
    <row r="35" spans="1:25" x14ac:dyDescent="0.25">
      <c r="A35" s="18">
        <v>30</v>
      </c>
      <c r="B35" s="30"/>
      <c r="C35" s="30"/>
      <c r="D35" s="30"/>
      <c r="E35" s="30"/>
      <c r="F35" s="30"/>
      <c r="G35" s="30"/>
      <c r="H35" s="30">
        <f>4*17.5</f>
        <v>70</v>
      </c>
      <c r="I35" s="30"/>
      <c r="J35" s="30"/>
      <c r="K35" s="30"/>
      <c r="L35" s="30"/>
      <c r="M35" s="30"/>
      <c r="N35" s="30"/>
      <c r="O35" s="30">
        <f>8*17.5</f>
        <v>140</v>
      </c>
      <c r="P35" s="30"/>
      <c r="Q35" s="30">
        <f>13*17.5</f>
        <v>227.5</v>
      </c>
      <c r="R35" s="30"/>
      <c r="S35" s="40" t="s">
        <v>65</v>
      </c>
      <c r="T35" s="29">
        <f t="shared" si="0"/>
        <v>437.5</v>
      </c>
      <c r="U35" s="30"/>
      <c r="V35" s="30"/>
      <c r="W35" s="30"/>
      <c r="X35" s="30"/>
      <c r="Y35" s="30"/>
    </row>
    <row r="36" spans="1:25" ht="16.5" customHeight="1" x14ac:dyDescent="0.25">
      <c r="A36" s="18">
        <v>31</v>
      </c>
      <c r="B36" s="30"/>
      <c r="C36" s="30"/>
      <c r="D36" s="30"/>
      <c r="E36" s="30"/>
      <c r="F36" s="30"/>
      <c r="G36" s="30"/>
      <c r="H36" s="30">
        <f>6*17.5</f>
        <v>105</v>
      </c>
      <c r="I36" s="30"/>
      <c r="J36" s="30"/>
      <c r="K36" s="30"/>
      <c r="L36" s="30"/>
      <c r="M36" s="30"/>
      <c r="N36" s="30"/>
      <c r="O36" s="30">
        <f>10*17.5</f>
        <v>175</v>
      </c>
      <c r="P36" s="30"/>
      <c r="Q36" s="30">
        <f>5*17.5</f>
        <v>87.5</v>
      </c>
      <c r="R36" s="30"/>
      <c r="S36" s="40" t="s">
        <v>70</v>
      </c>
      <c r="T36" s="29">
        <f t="shared" si="0"/>
        <v>367.5</v>
      </c>
      <c r="U36" s="30"/>
      <c r="V36" s="30"/>
      <c r="W36" s="30"/>
      <c r="X36" s="30"/>
      <c r="Y36" s="30"/>
    </row>
    <row r="37" spans="1:25" x14ac:dyDescent="0.25">
      <c r="A37" s="18">
        <v>32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26"/>
      <c r="P37" s="30"/>
      <c r="Q37" s="30">
        <f>3*17.5</f>
        <v>52.5</v>
      </c>
      <c r="R37" s="30"/>
      <c r="S37" s="40" t="s">
        <v>60</v>
      </c>
      <c r="T37" s="29">
        <f t="shared" si="0"/>
        <v>52.5</v>
      </c>
      <c r="U37" s="30"/>
      <c r="V37" s="30"/>
      <c r="W37" s="30"/>
      <c r="X37" s="30"/>
      <c r="Y37" s="30"/>
    </row>
    <row r="38" spans="1:25" ht="30" x14ac:dyDescent="0.25">
      <c r="A38" s="18">
        <v>33</v>
      </c>
      <c r="B38" s="30"/>
      <c r="C38" s="30"/>
      <c r="D38" s="30"/>
      <c r="E38" s="30"/>
      <c r="F38" s="30">
        <f>2*17.5</f>
        <v>35</v>
      </c>
      <c r="G38" s="30"/>
      <c r="H38" s="30"/>
      <c r="I38" s="30"/>
      <c r="J38" s="30"/>
      <c r="K38" s="30"/>
      <c r="L38" s="30"/>
      <c r="M38" s="30">
        <v>1025</v>
      </c>
      <c r="N38" s="30"/>
      <c r="O38" s="30">
        <f>2*17.5</f>
        <v>35</v>
      </c>
      <c r="P38" s="30"/>
      <c r="Q38" s="30">
        <f>3*17.5</f>
        <v>52.5</v>
      </c>
      <c r="R38" s="30"/>
      <c r="S38" s="40" t="s">
        <v>71</v>
      </c>
      <c r="T38" s="29">
        <f t="shared" si="0"/>
        <v>1147.5</v>
      </c>
      <c r="U38" s="30"/>
      <c r="V38" s="30"/>
      <c r="W38" s="30"/>
      <c r="X38" s="30"/>
      <c r="Y38" s="30"/>
    </row>
    <row r="39" spans="1:25" x14ac:dyDescent="0.25">
      <c r="A39" s="18">
        <v>34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>
        <f>1*17.5</f>
        <v>17.5</v>
      </c>
      <c r="R39" s="30"/>
      <c r="S39" s="40" t="s">
        <v>60</v>
      </c>
      <c r="T39" s="29">
        <f t="shared" si="0"/>
        <v>17.5</v>
      </c>
      <c r="U39" s="30"/>
      <c r="V39" s="30"/>
      <c r="W39" s="30"/>
      <c r="X39" s="30"/>
      <c r="Y39" s="30"/>
    </row>
    <row r="40" spans="1:25" x14ac:dyDescent="0.25">
      <c r="A40" s="18">
        <v>35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>
        <f>7*17.5</f>
        <v>122.5</v>
      </c>
      <c r="R40" s="30"/>
      <c r="S40" s="40" t="s">
        <v>62</v>
      </c>
      <c r="T40" s="29">
        <f t="shared" si="0"/>
        <v>122.5</v>
      </c>
      <c r="U40" s="30"/>
      <c r="V40" s="30"/>
      <c r="W40" s="30"/>
      <c r="X40" s="30"/>
      <c r="Y40" s="30"/>
    </row>
    <row r="41" spans="1:25" x14ac:dyDescent="0.25">
      <c r="A41" s="18">
        <v>36</v>
      </c>
      <c r="B41" s="30"/>
      <c r="C41" s="30"/>
      <c r="D41" s="30"/>
      <c r="E41" s="30">
        <f>6*17.5</f>
        <v>105</v>
      </c>
      <c r="F41" s="30"/>
      <c r="G41" s="30"/>
      <c r="H41" s="30"/>
      <c r="I41" s="30"/>
      <c r="J41" s="30"/>
      <c r="K41" s="30"/>
      <c r="L41" s="30"/>
      <c r="M41" s="30">
        <v>200</v>
      </c>
      <c r="N41" s="30"/>
      <c r="O41" s="30"/>
      <c r="P41" s="30"/>
      <c r="Q41" s="30">
        <f>9*17.5</f>
        <v>157.5</v>
      </c>
      <c r="R41" s="30"/>
      <c r="S41" s="40" t="s">
        <v>72</v>
      </c>
      <c r="T41" s="29">
        <f t="shared" si="0"/>
        <v>462.5</v>
      </c>
      <c r="U41" s="30"/>
      <c r="V41" s="30"/>
      <c r="W41" s="30">
        <f>11.5*18.03</f>
        <v>207.34500000000003</v>
      </c>
      <c r="X41" s="30"/>
      <c r="Y41" s="30">
        <v>105</v>
      </c>
    </row>
    <row r="42" spans="1:25" ht="30" x14ac:dyDescent="0.25">
      <c r="A42" s="18">
        <v>37</v>
      </c>
      <c r="B42" s="30"/>
      <c r="C42" s="30"/>
      <c r="D42" s="30"/>
      <c r="E42" s="30"/>
      <c r="F42" s="30"/>
      <c r="G42" s="30"/>
      <c r="H42" s="30">
        <f>2*17.5</f>
        <v>35</v>
      </c>
      <c r="I42" s="30"/>
      <c r="J42" s="30"/>
      <c r="K42" s="30"/>
      <c r="L42" s="30">
        <f>1*17.5</f>
        <v>17.5</v>
      </c>
      <c r="M42" s="30"/>
      <c r="N42" s="30">
        <f>350+175</f>
        <v>525</v>
      </c>
      <c r="O42" s="30">
        <f>1*17.5</f>
        <v>17.5</v>
      </c>
      <c r="P42" s="30"/>
      <c r="Q42" s="30">
        <f>5*17.5</f>
        <v>87.5</v>
      </c>
      <c r="R42" s="30"/>
      <c r="S42" s="40" t="s">
        <v>73</v>
      </c>
      <c r="T42" s="29">
        <f t="shared" si="0"/>
        <v>682.5</v>
      </c>
      <c r="U42" s="30"/>
      <c r="V42" s="30"/>
      <c r="W42" s="30"/>
      <c r="X42" s="30"/>
      <c r="Y42" s="30"/>
    </row>
    <row r="43" spans="1:25" x14ac:dyDescent="0.25">
      <c r="A43" s="18">
        <v>38</v>
      </c>
      <c r="B43" s="30"/>
      <c r="C43" s="30">
        <f>1.5*17.5</f>
        <v>26.25</v>
      </c>
      <c r="D43" s="30">
        <f>3.5*17.5</f>
        <v>61.25</v>
      </c>
      <c r="E43" s="30"/>
      <c r="F43" s="30">
        <f>1.5*17.5</f>
        <v>26.25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>
        <f>4*17.5</f>
        <v>70</v>
      </c>
      <c r="R43" s="30">
        <f>6*35+4*35</f>
        <v>350</v>
      </c>
      <c r="S43" s="40" t="s">
        <v>74</v>
      </c>
      <c r="T43" s="29">
        <f t="shared" si="0"/>
        <v>533.75</v>
      </c>
      <c r="U43" s="30"/>
      <c r="V43" s="30"/>
      <c r="W43" s="30">
        <f>1*27.09</f>
        <v>27.09</v>
      </c>
      <c r="X43" s="30"/>
      <c r="Y43" s="30"/>
    </row>
    <row r="44" spans="1:25" x14ac:dyDescent="0.25">
      <c r="A44" s="18">
        <v>39</v>
      </c>
      <c r="B44" s="30"/>
      <c r="C44" s="30"/>
      <c r="D44" s="30"/>
      <c r="E44" s="30"/>
      <c r="F44" s="30"/>
      <c r="G44" s="30"/>
      <c r="H44" s="30">
        <f>3.5*17.5</f>
        <v>61.25</v>
      </c>
      <c r="I44" s="30"/>
      <c r="J44" s="30"/>
      <c r="K44" s="30"/>
      <c r="L44" s="30"/>
      <c r="M44" s="30"/>
      <c r="N44" s="30"/>
      <c r="O44" s="30">
        <f>6.5*17.5</f>
        <v>113.75</v>
      </c>
      <c r="P44" s="30"/>
      <c r="Q44" s="30">
        <f>3*17.5</f>
        <v>52.5</v>
      </c>
      <c r="R44" s="30"/>
      <c r="S44" s="40" t="s">
        <v>75</v>
      </c>
      <c r="T44" s="29">
        <f t="shared" si="0"/>
        <v>227.5</v>
      </c>
      <c r="U44" s="30">
        <v>440.52</v>
      </c>
      <c r="V44" s="30"/>
      <c r="W44" s="30"/>
      <c r="X44" s="30"/>
      <c r="Y44" s="30"/>
    </row>
    <row r="45" spans="1:25" x14ac:dyDescent="0.25">
      <c r="A45" s="18">
        <v>40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40"/>
      <c r="T45" s="29">
        <f t="shared" si="0"/>
        <v>0</v>
      </c>
      <c r="U45" s="30"/>
      <c r="V45" s="30"/>
      <c r="W45" s="30">
        <f>1*27.09</f>
        <v>27.09</v>
      </c>
      <c r="X45" s="30"/>
      <c r="Y45" s="30"/>
    </row>
    <row r="46" spans="1:25" x14ac:dyDescent="0.25">
      <c r="A46" s="18">
        <v>41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>
        <f>3*17.5</f>
        <v>52.5</v>
      </c>
      <c r="P46" s="30"/>
      <c r="Q46" s="30"/>
      <c r="R46" s="30"/>
      <c r="S46" s="40"/>
      <c r="T46" s="29">
        <f t="shared" si="0"/>
        <v>52.5</v>
      </c>
      <c r="U46" s="30">
        <v>440.52</v>
      </c>
      <c r="V46" s="30"/>
      <c r="W46" s="30"/>
      <c r="X46" s="30"/>
      <c r="Y46" s="30"/>
    </row>
    <row r="47" spans="1:25" x14ac:dyDescent="0.25">
      <c r="A47" s="18">
        <v>42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40"/>
      <c r="T47" s="29">
        <f t="shared" si="0"/>
        <v>0</v>
      </c>
      <c r="U47" s="30"/>
      <c r="V47" s="30"/>
      <c r="W47" s="30">
        <f>3.5*18.03</f>
        <v>63.105000000000004</v>
      </c>
      <c r="X47" s="30"/>
      <c r="Y47" s="30"/>
    </row>
    <row r="48" spans="1:25" x14ac:dyDescent="0.25">
      <c r="A48" s="18">
        <v>43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f>5*35</f>
        <v>175</v>
      </c>
      <c r="S48" s="40" t="s">
        <v>76</v>
      </c>
      <c r="T48" s="29">
        <f t="shared" si="0"/>
        <v>175</v>
      </c>
      <c r="U48" s="30"/>
      <c r="V48" s="30"/>
      <c r="W48" s="30"/>
      <c r="X48" s="30"/>
      <c r="Y48" s="30"/>
    </row>
    <row r="49" spans="1:25" ht="30" x14ac:dyDescent="0.25">
      <c r="A49" s="18">
        <v>44</v>
      </c>
      <c r="B49" s="30"/>
      <c r="C49" s="30"/>
      <c r="D49" s="30">
        <f>3*17.5</f>
        <v>52.5</v>
      </c>
      <c r="E49" s="30">
        <f>2*17.5</f>
        <v>35</v>
      </c>
      <c r="F49" s="30"/>
      <c r="G49" s="30"/>
      <c r="H49" s="30"/>
      <c r="I49" s="30"/>
      <c r="J49" s="30"/>
      <c r="K49" s="30"/>
      <c r="L49" s="30"/>
      <c r="M49" s="30"/>
      <c r="N49" s="30"/>
      <c r="O49" s="30">
        <f>7*17.5</f>
        <v>122.5</v>
      </c>
      <c r="P49" s="30"/>
      <c r="Q49" s="30">
        <f>6*17.5</f>
        <v>105</v>
      </c>
      <c r="R49" s="31">
        <f>22*35</f>
        <v>770</v>
      </c>
      <c r="S49" s="40" t="s">
        <v>77</v>
      </c>
      <c r="T49" s="29">
        <f t="shared" si="0"/>
        <v>1085</v>
      </c>
      <c r="U49" s="30"/>
      <c r="V49" s="30"/>
      <c r="W49" s="30">
        <f>2.5*18.65</f>
        <v>46.625</v>
      </c>
      <c r="X49" s="30"/>
      <c r="Y49" s="30">
        <v>105</v>
      </c>
    </row>
    <row r="50" spans="1:25" x14ac:dyDescent="0.25">
      <c r="A50" s="18">
        <v>45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>
        <f>17.5</f>
        <v>17.5</v>
      </c>
      <c r="R50" s="30">
        <f>3*35</f>
        <v>105</v>
      </c>
      <c r="S50" s="40" t="s">
        <v>76</v>
      </c>
      <c r="T50" s="29">
        <f t="shared" si="0"/>
        <v>122.5</v>
      </c>
      <c r="U50" s="30"/>
      <c r="V50" s="30"/>
      <c r="W50" s="30">
        <f>1*27.09</f>
        <v>27.09</v>
      </c>
      <c r="X50" s="30"/>
      <c r="Y50" s="30"/>
    </row>
    <row r="51" spans="1:25" x14ac:dyDescent="0.25">
      <c r="A51" s="18">
        <v>46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>
        <f>2*17.5</f>
        <v>35</v>
      </c>
      <c r="P51" s="30"/>
      <c r="Q51" s="30"/>
      <c r="R51" s="30"/>
      <c r="S51" s="40"/>
      <c r="T51" s="29">
        <f t="shared" si="0"/>
        <v>35</v>
      </c>
      <c r="U51" s="30"/>
      <c r="V51" s="30"/>
      <c r="W51" s="30"/>
      <c r="X51" s="30"/>
      <c r="Y51" s="30"/>
    </row>
    <row r="52" spans="1:25" x14ac:dyDescent="0.25">
      <c r="A52" s="18">
        <v>47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40"/>
      <c r="T52" s="29">
        <f t="shared" si="0"/>
        <v>0</v>
      </c>
      <c r="U52" s="30"/>
      <c r="V52" s="30"/>
      <c r="W52" s="30">
        <f>8*27.09</f>
        <v>216.72</v>
      </c>
      <c r="X52" s="30"/>
      <c r="Y52" s="30"/>
    </row>
    <row r="53" spans="1:25" x14ac:dyDescent="0.25">
      <c r="A53" s="18">
        <v>48</v>
      </c>
      <c r="B53" s="30">
        <v>3300</v>
      </c>
      <c r="C53" s="30"/>
      <c r="D53" s="30"/>
      <c r="E53" s="30"/>
      <c r="F53" s="30"/>
      <c r="G53" s="30"/>
      <c r="H53" s="30"/>
      <c r="I53" s="30"/>
      <c r="J53" s="30"/>
      <c r="K53" s="30">
        <f>8*17.5</f>
        <v>140</v>
      </c>
      <c r="L53" s="30"/>
      <c r="M53" s="30"/>
      <c r="N53" s="30">
        <v>1400</v>
      </c>
      <c r="O53" s="30"/>
      <c r="P53" s="30"/>
      <c r="Q53" s="30"/>
      <c r="R53" s="30"/>
      <c r="S53" s="40"/>
      <c r="T53" s="29">
        <f t="shared" si="0"/>
        <v>4840</v>
      </c>
      <c r="U53" s="30"/>
      <c r="V53" s="30"/>
      <c r="W53" s="30"/>
      <c r="X53" s="30"/>
      <c r="Y53" s="30"/>
    </row>
    <row r="54" spans="1:25" ht="45" x14ac:dyDescent="0.25">
      <c r="A54" s="18">
        <v>49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>
        <f>3*17.5</f>
        <v>52.5</v>
      </c>
      <c r="R54" s="30">
        <f>10*35+24.5*35</f>
        <v>1207.5</v>
      </c>
      <c r="S54" s="40" t="s">
        <v>78</v>
      </c>
      <c r="T54" s="29">
        <f t="shared" si="0"/>
        <v>1260</v>
      </c>
      <c r="U54" s="30"/>
      <c r="V54" s="30"/>
      <c r="W54" s="30"/>
      <c r="X54" s="30">
        <f>14.5*35</f>
        <v>507.5</v>
      </c>
      <c r="Y54" s="30"/>
    </row>
    <row r="55" spans="1:25" x14ac:dyDescent="0.25">
      <c r="A55" s="18">
        <v>50</v>
      </c>
      <c r="B55" s="30"/>
      <c r="C55" s="30">
        <f>2*17.5</f>
        <v>35</v>
      </c>
      <c r="D55" s="30"/>
      <c r="E55" s="30"/>
      <c r="F55" s="30">
        <f>2*17.5</f>
        <v>35</v>
      </c>
      <c r="G55" s="30"/>
      <c r="H55" s="30"/>
      <c r="I55" s="30"/>
      <c r="J55" s="30"/>
      <c r="K55" s="30"/>
      <c r="L55" s="30"/>
      <c r="M55" s="30"/>
      <c r="N55" s="30"/>
      <c r="O55" s="30">
        <f>8*17.5</f>
        <v>140</v>
      </c>
      <c r="P55" s="30"/>
      <c r="Q55" s="30"/>
      <c r="R55" s="30"/>
      <c r="S55" s="40" t="s">
        <v>79</v>
      </c>
      <c r="T55" s="29">
        <f t="shared" si="0"/>
        <v>210</v>
      </c>
      <c r="U55" s="30"/>
      <c r="V55" s="30"/>
      <c r="W55" s="30"/>
      <c r="X55" s="30"/>
      <c r="Y55" s="30"/>
    </row>
    <row r="56" spans="1:25" x14ac:dyDescent="0.25">
      <c r="A56" s="18">
        <v>51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>
        <f>4*17.5</f>
        <v>70</v>
      </c>
      <c r="M56" s="30"/>
      <c r="N56" s="30"/>
      <c r="O56" s="30">
        <f>2*17.5</f>
        <v>35</v>
      </c>
      <c r="P56" s="30"/>
      <c r="Q56" s="30">
        <f>3*17.5</f>
        <v>52.5</v>
      </c>
      <c r="R56" s="30"/>
      <c r="S56" s="40" t="s">
        <v>80</v>
      </c>
      <c r="T56" s="29">
        <f t="shared" si="0"/>
        <v>157.5</v>
      </c>
      <c r="U56" s="30">
        <v>437.24</v>
      </c>
      <c r="V56" s="30"/>
      <c r="W56" s="30"/>
      <c r="X56" s="30"/>
      <c r="Y56" s="30"/>
    </row>
    <row r="57" spans="1:25" x14ac:dyDescent="0.25">
      <c r="A57" s="18">
        <v>52</v>
      </c>
      <c r="B57" s="30"/>
      <c r="C57" s="30"/>
      <c r="D57" s="30"/>
      <c r="E57" s="30"/>
      <c r="F57" s="30">
        <f>4*17.5</f>
        <v>70</v>
      </c>
      <c r="G57" s="30"/>
      <c r="H57" s="30">
        <f>4*17.5</f>
        <v>70</v>
      </c>
      <c r="I57" s="30"/>
      <c r="J57" s="30"/>
      <c r="K57" s="30"/>
      <c r="L57" s="30"/>
      <c r="M57" s="30"/>
      <c r="N57" s="30"/>
      <c r="O57" s="30"/>
      <c r="P57" s="30"/>
      <c r="Q57" s="30">
        <f>6*17.5</f>
        <v>105</v>
      </c>
      <c r="R57" s="30"/>
      <c r="S57" s="40" t="s">
        <v>81</v>
      </c>
      <c r="T57" s="29">
        <f t="shared" si="0"/>
        <v>245</v>
      </c>
      <c r="U57" s="30"/>
      <c r="V57" s="30"/>
      <c r="W57" s="30">
        <f>1*27.09</f>
        <v>27.09</v>
      </c>
      <c r="X57" s="30"/>
      <c r="Y57" s="30"/>
    </row>
    <row r="58" spans="1:25" ht="30" x14ac:dyDescent="0.25">
      <c r="A58" s="18">
        <v>53</v>
      </c>
      <c r="B58" s="30">
        <v>2600</v>
      </c>
      <c r="C58" s="30"/>
      <c r="D58" s="30"/>
      <c r="E58" s="30"/>
      <c r="F58" s="30"/>
      <c r="G58" s="30"/>
      <c r="H58" s="30"/>
      <c r="I58" s="30"/>
      <c r="J58" s="30"/>
      <c r="K58" s="30">
        <f>8*17.5</f>
        <v>140</v>
      </c>
      <c r="L58" s="30"/>
      <c r="M58" s="30"/>
      <c r="N58" s="30"/>
      <c r="O58" s="30">
        <f>2*17.5</f>
        <v>35</v>
      </c>
      <c r="P58" s="30"/>
      <c r="Q58" s="30">
        <f>6*17.5</f>
        <v>105</v>
      </c>
      <c r="R58" s="30">
        <f>3*35</f>
        <v>105</v>
      </c>
      <c r="S58" s="40" t="s">
        <v>82</v>
      </c>
      <c r="T58" s="29">
        <f t="shared" si="0"/>
        <v>2985</v>
      </c>
      <c r="U58" s="30"/>
      <c r="V58" s="30"/>
      <c r="W58" s="30"/>
      <c r="X58" s="30"/>
      <c r="Y58" s="30"/>
    </row>
    <row r="59" spans="1:25" x14ac:dyDescent="0.25">
      <c r="A59" s="18">
        <v>54</v>
      </c>
      <c r="B59" s="30"/>
      <c r="C59" s="30"/>
      <c r="D59" s="30"/>
      <c r="E59" s="30"/>
      <c r="F59" s="30"/>
      <c r="G59" s="30"/>
      <c r="H59" s="30"/>
      <c r="I59" s="30">
        <f>2*17.5</f>
        <v>35</v>
      </c>
      <c r="J59" s="30"/>
      <c r="K59" s="30"/>
      <c r="L59" s="30">
        <f>4*17.5</f>
        <v>70</v>
      </c>
      <c r="M59" s="30"/>
      <c r="N59" s="30"/>
      <c r="O59" s="30"/>
      <c r="P59" s="30">
        <f>560+45</f>
        <v>605</v>
      </c>
      <c r="Q59" s="30">
        <f>3*17.5</f>
        <v>52.5</v>
      </c>
      <c r="R59" s="30"/>
      <c r="S59" s="40" t="s">
        <v>83</v>
      </c>
      <c r="T59" s="29">
        <f t="shared" si="0"/>
        <v>762.5</v>
      </c>
      <c r="U59" s="30">
        <v>437.24</v>
      </c>
      <c r="V59" s="30"/>
      <c r="W59" s="30"/>
      <c r="X59" s="30"/>
      <c r="Y59" s="30"/>
    </row>
    <row r="60" spans="1:25" x14ac:dyDescent="0.25">
      <c r="A60" s="18">
        <v>55</v>
      </c>
      <c r="B60" s="30"/>
      <c r="C60" s="30"/>
      <c r="D60" s="30"/>
      <c r="E60" s="30"/>
      <c r="F60" s="30">
        <f>3*17.5</f>
        <v>52.5</v>
      </c>
      <c r="G60" s="30"/>
      <c r="H60" s="30"/>
      <c r="I60" s="30"/>
      <c r="J60" s="30"/>
      <c r="K60" s="30"/>
      <c r="L60" s="30">
        <f>2*17.5</f>
        <v>35</v>
      </c>
      <c r="M60" s="30">
        <v>1000</v>
      </c>
      <c r="N60" s="30"/>
      <c r="O60" s="30"/>
      <c r="P60" s="30"/>
      <c r="Q60" s="30"/>
      <c r="R60" s="30"/>
      <c r="S60" s="40"/>
      <c r="T60" s="29">
        <f t="shared" si="0"/>
        <v>1087.5</v>
      </c>
      <c r="U60" s="30"/>
      <c r="V60" s="30"/>
      <c r="W60" s="30"/>
      <c r="X60" s="30"/>
      <c r="Y60" s="30"/>
    </row>
    <row r="61" spans="1:25" x14ac:dyDescent="0.25">
      <c r="A61" s="18">
        <v>56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>
        <v>175</v>
      </c>
      <c r="O61" s="30">
        <f>5*17.5</f>
        <v>87.5</v>
      </c>
      <c r="P61" s="30"/>
      <c r="Q61" s="30">
        <f>4*17.5</f>
        <v>70</v>
      </c>
      <c r="R61" s="30"/>
      <c r="S61" s="40" t="s">
        <v>84</v>
      </c>
      <c r="T61" s="29">
        <f t="shared" si="0"/>
        <v>332.5</v>
      </c>
      <c r="U61" s="30"/>
      <c r="V61" s="30"/>
      <c r="W61" s="30"/>
      <c r="X61" s="30"/>
      <c r="Y61" s="30"/>
    </row>
    <row r="62" spans="1:25" x14ac:dyDescent="0.25">
      <c r="A62" s="18">
        <v>57</v>
      </c>
      <c r="B62" s="30"/>
      <c r="C62" s="30"/>
      <c r="D62" s="30"/>
      <c r="E62" s="30"/>
      <c r="F62" s="30">
        <f>1.5*17.5</f>
        <v>26.25</v>
      </c>
      <c r="G62" s="30">
        <f>3.5*17.5</f>
        <v>61.25</v>
      </c>
      <c r="H62" s="30"/>
      <c r="I62" s="30"/>
      <c r="J62" s="30"/>
      <c r="K62" s="30"/>
      <c r="L62" s="30">
        <f>4*17.5</f>
        <v>70</v>
      </c>
      <c r="M62" s="30"/>
      <c r="N62" s="30"/>
      <c r="O62" s="30">
        <f>5*17.5</f>
        <v>87.5</v>
      </c>
      <c r="P62" s="30"/>
      <c r="Q62" s="30"/>
      <c r="R62" s="30"/>
      <c r="S62" s="40" t="s">
        <v>85</v>
      </c>
      <c r="T62" s="29">
        <f t="shared" si="0"/>
        <v>245</v>
      </c>
      <c r="U62" s="30">
        <v>437.24</v>
      </c>
      <c r="V62" s="30"/>
      <c r="W62" s="30"/>
      <c r="X62" s="30"/>
      <c r="Y62" s="30"/>
    </row>
    <row r="63" spans="1:25" x14ac:dyDescent="0.25">
      <c r="A63" s="18">
        <v>58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>
        <f>6*17.5</f>
        <v>105</v>
      </c>
      <c r="R63" s="30"/>
      <c r="S63" s="40" t="s">
        <v>54</v>
      </c>
      <c r="T63" s="29">
        <f t="shared" si="0"/>
        <v>105</v>
      </c>
      <c r="U63" s="30"/>
      <c r="V63" s="30"/>
      <c r="W63" s="30"/>
      <c r="X63" s="30"/>
      <c r="Y63" s="30"/>
    </row>
    <row r="64" spans="1:25" x14ac:dyDescent="0.25">
      <c r="A64" s="18">
        <v>59</v>
      </c>
      <c r="B64" s="30"/>
      <c r="C64" s="30"/>
      <c r="D64" s="30"/>
      <c r="E64" s="30"/>
      <c r="F64" s="30">
        <f>17.5*1.5</f>
        <v>26.25</v>
      </c>
      <c r="G64" s="26"/>
      <c r="H64" s="30"/>
      <c r="I64" s="30"/>
      <c r="J64" s="30"/>
      <c r="K64" s="30"/>
      <c r="L64" s="30"/>
      <c r="M64" s="30">
        <v>300</v>
      </c>
      <c r="N64" s="30"/>
      <c r="O64" s="30"/>
      <c r="P64" s="30"/>
      <c r="Q64" s="30">
        <f>6*17.5</f>
        <v>105</v>
      </c>
      <c r="R64" s="30"/>
      <c r="S64" s="40" t="s">
        <v>57</v>
      </c>
      <c r="T64" s="29">
        <f t="shared" si="0"/>
        <v>431.25</v>
      </c>
      <c r="U64" s="30"/>
      <c r="V64" s="30"/>
      <c r="W64" s="30"/>
      <c r="X64" s="30"/>
      <c r="Y64" s="30"/>
    </row>
    <row r="65" spans="1:27" s="4" customFormat="1" x14ac:dyDescent="0.25">
      <c r="A65" s="18">
        <v>60</v>
      </c>
      <c r="B65" s="30"/>
      <c r="C65" s="30"/>
      <c r="D65" s="30"/>
      <c r="E65" s="30"/>
      <c r="F65" s="30">
        <f>2*17.5</f>
        <v>35</v>
      </c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>
        <f>6*17.5</f>
        <v>105</v>
      </c>
      <c r="R65" s="30"/>
      <c r="S65" s="40" t="s">
        <v>86</v>
      </c>
      <c r="T65" s="29">
        <f t="shared" si="0"/>
        <v>140</v>
      </c>
      <c r="U65" s="30"/>
      <c r="V65" s="30"/>
      <c r="W65" s="30"/>
      <c r="X65" s="30"/>
      <c r="Y65" s="30"/>
      <c r="Z65" s="2"/>
      <c r="AA65" s="2"/>
    </row>
    <row r="66" spans="1:27" s="4" customFormat="1" x14ac:dyDescent="0.25">
      <c r="A66" s="18">
        <v>61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>
        <f>2*17.5</f>
        <v>35</v>
      </c>
      <c r="R66" s="30"/>
      <c r="S66" s="40" t="s">
        <v>87</v>
      </c>
      <c r="T66" s="29">
        <f t="shared" ref="T66:T86" si="1">SUM(B66:R66)</f>
        <v>35</v>
      </c>
      <c r="U66" s="30"/>
      <c r="V66" s="30"/>
      <c r="W66" s="30"/>
      <c r="X66" s="30"/>
      <c r="Y66" s="30"/>
      <c r="Z66" s="2"/>
      <c r="AA66" s="2"/>
    </row>
    <row r="67" spans="1:27" s="4" customFormat="1" x14ac:dyDescent="0.25">
      <c r="A67" s="18">
        <v>62</v>
      </c>
      <c r="B67" s="30"/>
      <c r="C67" s="30"/>
      <c r="D67" s="30">
        <f>3*17.5</f>
        <v>52.5</v>
      </c>
      <c r="E67" s="30"/>
      <c r="F67" s="30">
        <f>1.5*17.5</f>
        <v>26.25</v>
      </c>
      <c r="G67" s="30"/>
      <c r="H67" s="30"/>
      <c r="I67" s="30"/>
      <c r="J67" s="30"/>
      <c r="K67" s="30"/>
      <c r="L67" s="30"/>
      <c r="M67" s="30"/>
      <c r="N67" s="30"/>
      <c r="O67" s="30">
        <f>4.5*17.5</f>
        <v>78.75</v>
      </c>
      <c r="P67" s="30"/>
      <c r="Q67" s="30">
        <f>6*17.5</f>
        <v>105</v>
      </c>
      <c r="R67" s="30"/>
      <c r="S67" s="40" t="s">
        <v>88</v>
      </c>
      <c r="T67" s="29">
        <f t="shared" si="1"/>
        <v>262.5</v>
      </c>
      <c r="U67" s="30"/>
      <c r="V67" s="30"/>
      <c r="W67" s="30"/>
      <c r="X67" s="30"/>
      <c r="Y67" s="30"/>
      <c r="Z67" s="2"/>
      <c r="AA67" s="2"/>
    </row>
    <row r="68" spans="1:27" s="4" customFormat="1" x14ac:dyDescent="0.25">
      <c r="A68" s="18">
        <v>63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>
        <f>2*17.5</f>
        <v>35</v>
      </c>
      <c r="P68" s="30"/>
      <c r="Q68" s="30"/>
      <c r="R68" s="30"/>
      <c r="S68" s="40" t="s">
        <v>89</v>
      </c>
      <c r="T68" s="29">
        <f t="shared" si="1"/>
        <v>35</v>
      </c>
      <c r="U68" s="30"/>
      <c r="V68" s="30"/>
      <c r="W68" s="30"/>
      <c r="X68" s="30"/>
      <c r="Y68" s="30"/>
      <c r="Z68" s="2"/>
      <c r="AA68" s="2"/>
    </row>
    <row r="69" spans="1:27" s="4" customFormat="1" ht="30" x14ac:dyDescent="0.25">
      <c r="A69" s="18">
        <v>64</v>
      </c>
      <c r="B69" s="30"/>
      <c r="C69" s="30"/>
      <c r="D69" s="30">
        <f>3.5*17.5</f>
        <v>61.25</v>
      </c>
      <c r="E69" s="30"/>
      <c r="F69" s="30">
        <f>1.5*17.5</f>
        <v>26.25</v>
      </c>
      <c r="G69" s="30"/>
      <c r="H69" s="30">
        <f>4.5*17.5</f>
        <v>78.75</v>
      </c>
      <c r="I69" s="30"/>
      <c r="J69" s="30"/>
      <c r="K69" s="30"/>
      <c r="L69" s="30"/>
      <c r="M69" s="30"/>
      <c r="N69" s="30"/>
      <c r="O69" s="30">
        <f>2*17.5</f>
        <v>35</v>
      </c>
      <c r="P69" s="30"/>
      <c r="Q69" s="30">
        <f>9*17.5</f>
        <v>157.5</v>
      </c>
      <c r="R69" s="30">
        <f>3*35</f>
        <v>105</v>
      </c>
      <c r="S69" s="40" t="s">
        <v>90</v>
      </c>
      <c r="T69" s="29">
        <f t="shared" si="1"/>
        <v>463.75</v>
      </c>
      <c r="U69" s="30"/>
      <c r="V69" s="30"/>
      <c r="W69" s="30"/>
      <c r="X69" s="30"/>
      <c r="Y69" s="30"/>
      <c r="Z69" s="2"/>
      <c r="AA69" s="2"/>
    </row>
    <row r="70" spans="1:27" s="4" customFormat="1" x14ac:dyDescent="0.25">
      <c r="A70" s="18">
        <v>65</v>
      </c>
      <c r="B70" s="30"/>
      <c r="C70" s="30"/>
      <c r="D70" s="30">
        <f>3.5*17.5</f>
        <v>61.25</v>
      </c>
      <c r="E70" s="30"/>
      <c r="F70" s="30">
        <f>1.5*17.5</f>
        <v>26.25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>
        <f>4*17.5</f>
        <v>70</v>
      </c>
      <c r="R70" s="30"/>
      <c r="S70" s="40" t="s">
        <v>91</v>
      </c>
      <c r="T70" s="29">
        <f t="shared" si="1"/>
        <v>157.5</v>
      </c>
      <c r="U70" s="30"/>
      <c r="V70" s="30"/>
      <c r="W70" s="30"/>
      <c r="X70" s="30"/>
      <c r="Y70" s="30"/>
      <c r="Z70" s="2"/>
      <c r="AA70" s="2"/>
    </row>
    <row r="71" spans="1:27" s="4" customFormat="1" ht="30" x14ac:dyDescent="0.25">
      <c r="A71" s="18">
        <v>66</v>
      </c>
      <c r="B71" s="30"/>
      <c r="C71" s="30"/>
      <c r="D71" s="30"/>
      <c r="E71" s="30"/>
      <c r="F71" s="30"/>
      <c r="G71" s="30"/>
      <c r="H71" s="30">
        <f>3.5*17.5</f>
        <v>61.25</v>
      </c>
      <c r="I71" s="30"/>
      <c r="J71" s="30"/>
      <c r="K71" s="30"/>
      <c r="L71" s="30"/>
      <c r="M71" s="30"/>
      <c r="N71" s="30"/>
      <c r="O71" s="30"/>
      <c r="P71" s="30"/>
      <c r="Q71" s="30">
        <f>12*17.5</f>
        <v>210</v>
      </c>
      <c r="R71" s="30"/>
      <c r="S71" s="40" t="s">
        <v>92</v>
      </c>
      <c r="T71" s="29">
        <f t="shared" si="1"/>
        <v>271.25</v>
      </c>
      <c r="U71" s="30"/>
      <c r="V71" s="30"/>
      <c r="W71" s="30"/>
      <c r="X71" s="30"/>
      <c r="Y71" s="30"/>
      <c r="Z71" s="2"/>
      <c r="AA71" s="2"/>
    </row>
    <row r="72" spans="1:27" s="4" customFormat="1" x14ac:dyDescent="0.25">
      <c r="A72" s="18">
        <v>67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>
        <f>5*17.5</f>
        <v>87.5</v>
      </c>
      <c r="P72" s="30"/>
      <c r="Q72" s="30"/>
      <c r="R72" s="30">
        <f>3*35</f>
        <v>105</v>
      </c>
      <c r="S72" s="41" t="s">
        <v>93</v>
      </c>
      <c r="T72" s="29">
        <f t="shared" si="1"/>
        <v>192.5</v>
      </c>
      <c r="U72" s="30"/>
      <c r="V72" s="30"/>
      <c r="W72" s="30"/>
      <c r="X72" s="30"/>
      <c r="Y72" s="30"/>
      <c r="Z72" s="2"/>
      <c r="AA72" s="2"/>
    </row>
    <row r="73" spans="1:27" s="4" customFormat="1" x14ac:dyDescent="0.25">
      <c r="A73" s="18">
        <v>68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>
        <f>2*17.5</f>
        <v>35</v>
      </c>
      <c r="M73" s="30"/>
      <c r="N73" s="30"/>
      <c r="O73" s="30"/>
      <c r="P73" s="30"/>
      <c r="Q73" s="30"/>
      <c r="R73" s="31">
        <f>3*35</f>
        <v>105</v>
      </c>
      <c r="S73" s="41" t="s">
        <v>94</v>
      </c>
      <c r="T73" s="29">
        <f t="shared" si="1"/>
        <v>140</v>
      </c>
      <c r="U73" s="30"/>
      <c r="V73" s="30"/>
      <c r="W73" s="30"/>
      <c r="X73" s="30"/>
      <c r="Y73" s="30"/>
      <c r="Z73" s="2"/>
      <c r="AA73" s="2"/>
    </row>
    <row r="74" spans="1:27" s="4" customFormat="1" x14ac:dyDescent="0.25">
      <c r="A74" s="18">
        <v>69</v>
      </c>
      <c r="B74" s="30"/>
      <c r="C74" s="30"/>
      <c r="D74" s="30"/>
      <c r="E74" s="30"/>
      <c r="F74" s="30"/>
      <c r="G74" s="30"/>
      <c r="H74" s="30"/>
      <c r="I74" s="30"/>
      <c r="J74" s="30"/>
      <c r="K74" s="30">
        <f>6*17.5</f>
        <v>105</v>
      </c>
      <c r="L74" s="30"/>
      <c r="M74" s="30"/>
      <c r="N74" s="30"/>
      <c r="O74" s="30">
        <f>2*17.5</f>
        <v>35</v>
      </c>
      <c r="P74" s="30"/>
      <c r="Q74" s="30">
        <f>2*17.5</f>
        <v>35</v>
      </c>
      <c r="R74" s="31"/>
      <c r="S74" s="41" t="s">
        <v>95</v>
      </c>
      <c r="T74" s="29">
        <f t="shared" si="1"/>
        <v>175</v>
      </c>
      <c r="U74" s="30"/>
      <c r="V74" s="30"/>
      <c r="W74" s="30"/>
      <c r="X74" s="30"/>
      <c r="Y74" s="30"/>
      <c r="Z74" s="2"/>
      <c r="AA74" s="2"/>
    </row>
    <row r="75" spans="1:27" s="4" customFormat="1" x14ac:dyDescent="0.25">
      <c r="A75" s="18">
        <v>70</v>
      </c>
      <c r="B75" s="30"/>
      <c r="C75" s="30"/>
      <c r="D75" s="30">
        <f>2*17.5</f>
        <v>35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>
        <f>4*17.5</f>
        <v>70</v>
      </c>
      <c r="P75" s="30"/>
      <c r="Q75" s="30"/>
      <c r="R75" s="30"/>
      <c r="S75" s="40"/>
      <c r="T75" s="29">
        <f t="shared" si="1"/>
        <v>105</v>
      </c>
      <c r="U75" s="30">
        <v>440.52</v>
      </c>
      <c r="V75" s="30"/>
      <c r="W75" s="30"/>
      <c r="X75" s="30"/>
      <c r="Y75" s="30"/>
      <c r="Z75" s="2"/>
      <c r="AA75" s="2"/>
    </row>
    <row r="76" spans="1:27" s="4" customFormat="1" x14ac:dyDescent="0.25">
      <c r="A76" s="18">
        <v>71</v>
      </c>
      <c r="B76" s="30"/>
      <c r="C76" s="30"/>
      <c r="D76" s="30"/>
      <c r="E76" s="30"/>
      <c r="F76" s="30"/>
      <c r="G76" s="30"/>
      <c r="H76" s="30"/>
      <c r="I76" s="30"/>
      <c r="J76" s="30"/>
      <c r="K76" s="30">
        <f>5.5*17.5</f>
        <v>96.25</v>
      </c>
      <c r="L76" s="30">
        <f>2*17.5</f>
        <v>35</v>
      </c>
      <c r="M76" s="30">
        <v>1000</v>
      </c>
      <c r="N76" s="30">
        <v>262.5</v>
      </c>
      <c r="O76" s="30"/>
      <c r="P76" s="30"/>
      <c r="Q76" s="30">
        <f>2*17.5</f>
        <v>35</v>
      </c>
      <c r="R76" s="30"/>
      <c r="S76" s="40" t="s">
        <v>96</v>
      </c>
      <c r="T76" s="29">
        <f t="shared" si="1"/>
        <v>1428.75</v>
      </c>
      <c r="U76" s="30"/>
      <c r="V76" s="30"/>
      <c r="W76" s="30">
        <f>1*27.09</f>
        <v>27.09</v>
      </c>
      <c r="X76" s="30"/>
      <c r="Y76" s="30"/>
      <c r="Z76" s="2"/>
      <c r="AA76" s="2"/>
    </row>
    <row r="77" spans="1:27" s="4" customFormat="1" x14ac:dyDescent="0.25">
      <c r="A77" s="18">
        <v>72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>
        <f>10*35</f>
        <v>350</v>
      </c>
      <c r="S77" s="40" t="s">
        <v>76</v>
      </c>
      <c r="T77" s="29">
        <f t="shared" si="1"/>
        <v>350</v>
      </c>
      <c r="U77" s="30"/>
      <c r="V77" s="30"/>
      <c r="W77" s="30"/>
      <c r="X77" s="30"/>
      <c r="Y77" s="30"/>
      <c r="Z77" s="2"/>
      <c r="AA77" s="2"/>
    </row>
    <row r="78" spans="1:27" s="4" customFormat="1" ht="18.75" customHeight="1" x14ac:dyDescent="0.25">
      <c r="A78" s="18">
        <v>73</v>
      </c>
      <c r="B78" s="30">
        <v>950</v>
      </c>
      <c r="C78" s="30"/>
      <c r="D78" s="30">
        <f>4*17.5</f>
        <v>70</v>
      </c>
      <c r="E78" s="30"/>
      <c r="F78" s="30"/>
      <c r="G78" s="30"/>
      <c r="H78" s="30"/>
      <c r="I78" s="30"/>
      <c r="J78" s="30"/>
      <c r="K78" s="30">
        <f>5*17.5</f>
        <v>87.5</v>
      </c>
      <c r="L78" s="30"/>
      <c r="M78" s="30"/>
      <c r="N78" s="30">
        <v>262.5</v>
      </c>
      <c r="O78" s="30">
        <f>5*17.5</f>
        <v>87.5</v>
      </c>
      <c r="P78" s="30"/>
      <c r="Q78" s="30">
        <f>11*17.5</f>
        <v>192.5</v>
      </c>
      <c r="R78" s="30"/>
      <c r="S78" s="40" t="s">
        <v>68</v>
      </c>
      <c r="T78" s="29">
        <f t="shared" si="1"/>
        <v>1650</v>
      </c>
      <c r="U78" s="30"/>
      <c r="V78" s="30"/>
      <c r="W78" s="30">
        <f>1.5*18.03</f>
        <v>27.045000000000002</v>
      </c>
      <c r="X78" s="30"/>
      <c r="Y78" s="30"/>
      <c r="Z78" s="2"/>
      <c r="AA78" s="2"/>
    </row>
    <row r="79" spans="1:27" s="4" customFormat="1" x14ac:dyDescent="0.25">
      <c r="A79" s="18">
        <v>74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f>2*17.5+14*35</f>
        <v>525</v>
      </c>
      <c r="S79" s="40"/>
      <c r="T79" s="29">
        <f>SUM(B79:R79)</f>
        <v>525</v>
      </c>
      <c r="U79" s="30"/>
      <c r="V79" s="30"/>
      <c r="W79" s="30"/>
      <c r="X79" s="26"/>
      <c r="Y79" s="30"/>
      <c r="Z79" s="2"/>
      <c r="AA79" s="2"/>
    </row>
    <row r="80" spans="1:27" s="4" customFormat="1" x14ac:dyDescent="0.25">
      <c r="A80" s="18">
        <v>75</v>
      </c>
      <c r="B80" s="30"/>
      <c r="C80" s="30"/>
      <c r="D80" s="30"/>
      <c r="E80" s="30"/>
      <c r="F80" s="30">
        <f>2*17.5</f>
        <v>35</v>
      </c>
      <c r="G80" s="30"/>
      <c r="H80" s="30"/>
      <c r="I80" s="30"/>
      <c r="J80" s="30"/>
      <c r="K80" s="30"/>
      <c r="L80" s="30"/>
      <c r="M80" s="30"/>
      <c r="N80" s="30"/>
      <c r="O80" s="30">
        <f>4*17.5</f>
        <v>70</v>
      </c>
      <c r="P80" s="30"/>
      <c r="Q80" s="30"/>
      <c r="R80" s="30"/>
      <c r="S80" s="40"/>
      <c r="T80" s="29">
        <f t="shared" si="1"/>
        <v>105</v>
      </c>
      <c r="U80" s="30"/>
      <c r="V80" s="30"/>
      <c r="W80" s="30"/>
      <c r="X80" s="30"/>
      <c r="Y80" s="30"/>
      <c r="Z80" s="2"/>
      <c r="AA80" s="2"/>
    </row>
    <row r="81" spans="1:26" ht="30" x14ac:dyDescent="0.25">
      <c r="A81" s="18">
        <v>76</v>
      </c>
      <c r="B81" s="30"/>
      <c r="C81" s="30">
        <f>1*17.5</f>
        <v>17.5</v>
      </c>
      <c r="D81" s="30"/>
      <c r="E81" s="30">
        <f>3*17.5</f>
        <v>52.5</v>
      </c>
      <c r="F81" s="30">
        <f>2*17.5</f>
        <v>35</v>
      </c>
      <c r="G81" s="30">
        <f>3*17.5</f>
        <v>52.5</v>
      </c>
      <c r="H81" s="30"/>
      <c r="I81" s="30"/>
      <c r="J81" s="30"/>
      <c r="K81" s="30"/>
      <c r="L81" s="30"/>
      <c r="M81" s="30">
        <v>350</v>
      </c>
      <c r="N81" s="30"/>
      <c r="O81" s="30"/>
      <c r="P81" s="30"/>
      <c r="Q81" s="30">
        <f>12*17.5</f>
        <v>210</v>
      </c>
      <c r="R81" s="30"/>
      <c r="S81" s="40" t="s">
        <v>97</v>
      </c>
      <c r="T81" s="29">
        <f t="shared" si="1"/>
        <v>717.5</v>
      </c>
      <c r="U81" s="30"/>
      <c r="V81" s="30"/>
      <c r="W81" s="30"/>
      <c r="X81" s="30"/>
      <c r="Y81" s="30">
        <v>105</v>
      </c>
    </row>
    <row r="82" spans="1:26" x14ac:dyDescent="0.25">
      <c r="A82" s="18">
        <v>77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>
        <f>7*17.5</f>
        <v>122.5</v>
      </c>
      <c r="R82" s="30"/>
      <c r="S82" s="40" t="s">
        <v>98</v>
      </c>
      <c r="T82" s="29">
        <f t="shared" si="1"/>
        <v>122.5</v>
      </c>
      <c r="U82" s="30"/>
      <c r="V82" s="30"/>
      <c r="W82" s="30"/>
      <c r="X82" s="30"/>
      <c r="Y82" s="30"/>
    </row>
    <row r="83" spans="1:26" x14ac:dyDescent="0.25">
      <c r="A83" s="18">
        <v>78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40"/>
      <c r="T83" s="29">
        <f t="shared" si="1"/>
        <v>0</v>
      </c>
      <c r="U83" s="30"/>
      <c r="V83" s="30"/>
      <c r="W83" s="30"/>
      <c r="X83" s="30"/>
      <c r="Y83" s="30"/>
    </row>
    <row r="84" spans="1:26" ht="12.75" customHeight="1" x14ac:dyDescent="0.25">
      <c r="A84" s="18">
        <v>79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>
        <f>23*17.5</f>
        <v>402.5</v>
      </c>
      <c r="P84" s="30"/>
      <c r="Q84" s="30">
        <f>7*17.5</f>
        <v>122.5</v>
      </c>
      <c r="R84" s="30">
        <f>4*35</f>
        <v>140</v>
      </c>
      <c r="S84" s="42"/>
      <c r="T84" s="29">
        <f t="shared" si="1"/>
        <v>665</v>
      </c>
      <c r="U84" s="30"/>
      <c r="V84" s="30"/>
      <c r="W84" s="30"/>
      <c r="X84" s="30"/>
      <c r="Y84" s="30"/>
    </row>
    <row r="85" spans="1:26" ht="12.75" customHeight="1" x14ac:dyDescent="0.25">
      <c r="A85" s="18">
        <v>80</v>
      </c>
      <c r="B85" s="30"/>
      <c r="C85" s="30"/>
      <c r="D85" s="30"/>
      <c r="E85" s="30">
        <f>1.5*17.5</f>
        <v>26.25</v>
      </c>
      <c r="F85" s="30">
        <f>1.5*17.5</f>
        <v>26.25</v>
      </c>
      <c r="G85" s="30"/>
      <c r="H85" s="30"/>
      <c r="I85" s="30"/>
      <c r="J85" s="30"/>
      <c r="K85" s="30">
        <f>8*17.5</f>
        <v>140</v>
      </c>
      <c r="L85" s="30">
        <f>3*17.5</f>
        <v>52.5</v>
      </c>
      <c r="M85" s="30"/>
      <c r="N85" s="30"/>
      <c r="O85" s="30">
        <f>6*17.5</f>
        <v>105</v>
      </c>
      <c r="P85" s="30"/>
      <c r="Q85" s="30"/>
      <c r="R85" s="30"/>
      <c r="S85" s="40"/>
      <c r="T85" s="29">
        <f t="shared" si="1"/>
        <v>350</v>
      </c>
      <c r="U85" s="30"/>
      <c r="V85" s="30"/>
      <c r="W85" s="30"/>
      <c r="X85" s="30"/>
      <c r="Y85" s="30">
        <v>43.75</v>
      </c>
    </row>
    <row r="86" spans="1:26" x14ac:dyDescent="0.25">
      <c r="A86" s="18">
        <v>81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>
        <f>4*17.5</f>
        <v>70</v>
      </c>
      <c r="R86" s="30"/>
      <c r="S86" s="40" t="s">
        <v>57</v>
      </c>
      <c r="T86" s="29">
        <f t="shared" si="1"/>
        <v>70</v>
      </c>
      <c r="U86" s="30"/>
      <c r="V86" s="30"/>
      <c r="W86" s="30">
        <f>5*18.65</f>
        <v>93.25</v>
      </c>
      <c r="X86" s="30"/>
      <c r="Y86" s="30"/>
    </row>
    <row r="87" spans="1:26" x14ac:dyDescent="0.25">
      <c r="A87" s="18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40"/>
      <c r="T87" s="30"/>
      <c r="U87" s="30"/>
      <c r="V87" s="30"/>
      <c r="W87" s="30"/>
      <c r="X87" s="30"/>
      <c r="Y87" s="30"/>
    </row>
    <row r="88" spans="1:26" x14ac:dyDescent="0.25">
      <c r="A88" s="22" t="s">
        <v>18</v>
      </c>
      <c r="B88" s="33">
        <f>SUM(B6:B86)</f>
        <v>6850</v>
      </c>
      <c r="C88" s="33">
        <f t="shared" ref="C88:Y88" si="2">SUM(C6:C86)</f>
        <v>96.25</v>
      </c>
      <c r="D88" s="33">
        <f t="shared" si="2"/>
        <v>393.75</v>
      </c>
      <c r="E88" s="33">
        <f t="shared" si="2"/>
        <v>472.5</v>
      </c>
      <c r="F88" s="33">
        <f t="shared" si="2"/>
        <v>612.5</v>
      </c>
      <c r="G88" s="33">
        <f t="shared" si="2"/>
        <v>183.75</v>
      </c>
      <c r="H88" s="33">
        <f t="shared" si="2"/>
        <v>1032.5</v>
      </c>
      <c r="I88" s="33">
        <f t="shared" si="2"/>
        <v>385</v>
      </c>
      <c r="J88" s="33">
        <f t="shared" si="2"/>
        <v>0</v>
      </c>
      <c r="K88" s="33">
        <f t="shared" si="2"/>
        <v>988.75</v>
      </c>
      <c r="L88" s="33">
        <f t="shared" si="2"/>
        <v>490</v>
      </c>
      <c r="M88" s="33">
        <f t="shared" si="2"/>
        <v>5750</v>
      </c>
      <c r="N88" s="33">
        <f t="shared" si="2"/>
        <v>2975</v>
      </c>
      <c r="O88" s="33">
        <f t="shared" si="2"/>
        <v>4576.25</v>
      </c>
      <c r="P88" s="33">
        <f t="shared" si="2"/>
        <v>1280</v>
      </c>
      <c r="Q88" s="33">
        <f t="shared" si="2"/>
        <v>5582.5</v>
      </c>
      <c r="R88" s="33">
        <f t="shared" si="2"/>
        <v>5372.5</v>
      </c>
      <c r="S88" s="43"/>
      <c r="T88" s="34">
        <f>SUM(T6:T87)</f>
        <v>37041.25</v>
      </c>
      <c r="U88" s="33">
        <f t="shared" si="2"/>
        <v>3954.8399999999997</v>
      </c>
      <c r="V88" s="33">
        <f t="shared" si="2"/>
        <v>0</v>
      </c>
      <c r="W88" s="33">
        <f>SUM(W6:W86)</f>
        <v>1613.2849999999996</v>
      </c>
      <c r="X88" s="33">
        <f t="shared" si="2"/>
        <v>1435</v>
      </c>
      <c r="Y88" s="33">
        <f t="shared" si="2"/>
        <v>1050</v>
      </c>
    </row>
    <row r="89" spans="1:26" x14ac:dyDescent="0.25">
      <c r="A89" s="22" t="s">
        <v>19</v>
      </c>
      <c r="B89" s="34">
        <v>6850</v>
      </c>
      <c r="C89" s="34">
        <v>210</v>
      </c>
      <c r="D89" s="34">
        <v>560</v>
      </c>
      <c r="E89" s="34">
        <v>525</v>
      </c>
      <c r="F89" s="34">
        <v>787.5</v>
      </c>
      <c r="G89" s="34">
        <v>157.5</v>
      </c>
      <c r="H89" s="34">
        <v>1260</v>
      </c>
      <c r="I89" s="34">
        <v>175</v>
      </c>
      <c r="J89" s="34">
        <v>70</v>
      </c>
      <c r="K89" s="34">
        <v>735</v>
      </c>
      <c r="L89" s="34">
        <v>245</v>
      </c>
      <c r="M89" s="34">
        <v>5750</v>
      </c>
      <c r="N89" s="34">
        <v>2975</v>
      </c>
      <c r="O89" s="34">
        <v>3955</v>
      </c>
      <c r="P89" s="34">
        <v>1280</v>
      </c>
      <c r="Q89" s="34">
        <v>13858.97</v>
      </c>
      <c r="R89" s="34"/>
      <c r="S89" s="44"/>
      <c r="T89" s="34"/>
      <c r="U89" s="34">
        <v>3954.84</v>
      </c>
      <c r="V89" s="34">
        <v>778.24</v>
      </c>
      <c r="W89" s="34">
        <v>2320.34</v>
      </c>
      <c r="X89" s="34">
        <v>1433.01</v>
      </c>
      <c r="Y89" s="34">
        <v>1050</v>
      </c>
      <c r="Z89" s="7"/>
    </row>
    <row r="90" spans="1:26" x14ac:dyDescent="0.25">
      <c r="A90" s="18"/>
      <c r="B90" s="24"/>
      <c r="C90" s="26"/>
      <c r="D90" s="26"/>
      <c r="E90" s="26"/>
      <c r="F90" s="26"/>
      <c r="G90" s="26"/>
      <c r="H90" s="26"/>
      <c r="I90" s="26"/>
      <c r="J90" s="26"/>
      <c r="K90" s="26"/>
      <c r="L90" s="35">
        <f>SUM(C89:L89)</f>
        <v>4725</v>
      </c>
      <c r="M90" s="24"/>
      <c r="N90" s="24"/>
      <c r="O90" s="24"/>
      <c r="P90" s="24"/>
      <c r="Q90" s="35">
        <f>SUM(B89:Q89)</f>
        <v>39393.97</v>
      </c>
      <c r="R90" s="35"/>
      <c r="S90" s="45"/>
      <c r="T90" s="35"/>
      <c r="U90" s="24"/>
      <c r="V90" s="26" t="s">
        <v>99</v>
      </c>
      <c r="W90" s="36">
        <f>W89-W88</f>
        <v>707.05500000000052</v>
      </c>
      <c r="X90" s="24"/>
      <c r="Y90" s="34">
        <f>SUM(Q90+U89+V89+W89+X89)</f>
        <v>47880.4</v>
      </c>
      <c r="Z90" s="10"/>
    </row>
    <row r="91" spans="1:26" x14ac:dyDescent="0.25">
      <c r="A91" s="22"/>
      <c r="B91" s="26"/>
      <c r="C91" s="26"/>
      <c r="D91" s="37">
        <f>SUM(C88:L88)</f>
        <v>4655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 t="s">
        <v>100</v>
      </c>
      <c r="P91" s="26"/>
      <c r="Q91" s="26"/>
      <c r="R91" s="26"/>
      <c r="S91" s="39"/>
      <c r="T91" s="35">
        <f>Q90-T88</f>
        <v>2352.7200000000012</v>
      </c>
      <c r="U91" s="35"/>
      <c r="V91" s="35"/>
      <c r="W91" s="35"/>
      <c r="X91" s="35"/>
      <c r="Y91" s="35"/>
    </row>
    <row r="92" spans="1:26" x14ac:dyDescent="0.25">
      <c r="A92" s="11" t="s">
        <v>20</v>
      </c>
      <c r="D92" s="4">
        <f>L90-D91</f>
        <v>70</v>
      </c>
      <c r="P92" s="12" t="s">
        <v>101</v>
      </c>
      <c r="X92" s="4"/>
    </row>
  </sheetData>
  <pageMargins left="0.7" right="0.7" top="0.75" bottom="0.75" header="0.3" footer="0.3"/>
  <pageSetup paperSize="8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30"/>
  <sheetViews>
    <sheetView tabSelected="1" workbookViewId="0">
      <selection activeCell="C33" sqref="C33"/>
    </sheetView>
  </sheetViews>
  <sheetFormatPr defaultRowHeight="15" x14ac:dyDescent="0.25"/>
  <cols>
    <col min="1" max="1" width="14.42578125" style="9" customWidth="1"/>
    <col min="2" max="12" width="14.140625" style="2" customWidth="1"/>
    <col min="13" max="13" width="14.85546875" style="2" customWidth="1"/>
    <col min="14" max="14" width="9.85546875" style="2" customWidth="1"/>
    <col min="15" max="15" width="11.28515625" style="2" customWidth="1"/>
    <col min="16" max="16" width="13.42578125" style="2" customWidth="1"/>
    <col min="17" max="17" width="10.28515625" style="3" customWidth="1"/>
    <col min="18" max="18" width="9.85546875" style="2" customWidth="1"/>
    <col min="19" max="19" width="10.5703125" style="2" customWidth="1"/>
    <col min="20" max="20" width="10.140625" style="2" customWidth="1"/>
    <col min="21" max="21" width="9.140625" style="2"/>
    <col min="22" max="22" width="11.42578125" style="2" customWidth="1"/>
    <col min="23" max="23" width="12.140625" style="2" customWidth="1"/>
    <col min="24" max="25" width="9.140625" style="2"/>
    <col min="26" max="27" width="12.42578125" style="2" customWidth="1"/>
    <col min="28" max="28" width="9.140625" style="2"/>
    <col min="29" max="29" width="12" style="2" customWidth="1"/>
    <col min="30" max="16384" width="9.140625" style="2"/>
  </cols>
  <sheetData>
    <row r="2" spans="1:29" ht="18.75" x14ac:dyDescent="0.25">
      <c r="A2" s="47" t="s">
        <v>0</v>
      </c>
    </row>
    <row r="5" spans="1:29" s="9" customFormat="1" ht="45" x14ac:dyDescent="0.25">
      <c r="A5" s="26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6" t="s">
        <v>13</v>
      </c>
      <c r="N5" s="15" t="s">
        <v>14</v>
      </c>
      <c r="O5" s="15" t="s">
        <v>15</v>
      </c>
      <c r="P5" s="15" t="s">
        <v>16</v>
      </c>
      <c r="Q5" s="15" t="s">
        <v>17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x14ac:dyDescent="0.25">
      <c r="A6" s="2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3"/>
      <c r="N6" s="20"/>
      <c r="O6" s="20"/>
      <c r="P6" s="20"/>
      <c r="Q6" s="19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9" x14ac:dyDescent="0.25">
      <c r="A7" s="26">
        <v>1</v>
      </c>
      <c r="B7" s="20"/>
      <c r="C7" s="20"/>
      <c r="D7" s="20">
        <v>200</v>
      </c>
      <c r="E7" s="20"/>
      <c r="F7" s="20"/>
      <c r="G7" s="20"/>
      <c r="H7" s="20"/>
      <c r="I7" s="20"/>
      <c r="J7" s="20"/>
      <c r="K7" s="20"/>
      <c r="L7" s="20"/>
      <c r="M7" s="23">
        <f>SUM(B7:L7)</f>
        <v>200</v>
      </c>
      <c r="N7" s="20"/>
      <c r="O7" s="20">
        <v>362.55</v>
      </c>
      <c r="P7" s="20"/>
      <c r="Q7" s="19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9" x14ac:dyDescent="0.25">
      <c r="A8" s="26">
        <v>2</v>
      </c>
      <c r="B8" s="20"/>
      <c r="C8" s="20"/>
      <c r="D8" s="20"/>
      <c r="E8" s="20"/>
      <c r="F8" s="20"/>
      <c r="G8" s="20"/>
      <c r="H8" s="20"/>
      <c r="I8" s="20"/>
      <c r="J8" s="20"/>
      <c r="K8" s="20">
        <f>230/10*6</f>
        <v>138</v>
      </c>
      <c r="L8" s="20"/>
      <c r="M8" s="23">
        <f t="shared" ref="M8:M23" si="0">SUM(B8:L8)</f>
        <v>138</v>
      </c>
      <c r="N8" s="20"/>
      <c r="O8" s="20">
        <f>510/10*6</f>
        <v>306</v>
      </c>
      <c r="P8" s="20"/>
      <c r="Q8" s="19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9" x14ac:dyDescent="0.25">
      <c r="A9" s="26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3"/>
      <c r="N9" s="20"/>
      <c r="O9" s="20"/>
      <c r="P9" s="20">
        <f>5*12.5</f>
        <v>62.5</v>
      </c>
      <c r="Q9" s="19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9" x14ac:dyDescent="0.25">
      <c r="A10" s="26">
        <v>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3">
        <f t="shared" si="0"/>
        <v>0</v>
      </c>
      <c r="N10" s="20">
        <v>3420</v>
      </c>
      <c r="O10" s="20"/>
      <c r="P10" s="20"/>
      <c r="Q10" s="1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9" x14ac:dyDescent="0.25">
      <c r="A11" s="26">
        <v>5</v>
      </c>
      <c r="B11" s="20"/>
      <c r="C11" s="20"/>
      <c r="D11" s="20"/>
      <c r="E11" s="20"/>
      <c r="F11" s="20">
        <v>50</v>
      </c>
      <c r="G11" s="20"/>
      <c r="H11" s="20"/>
      <c r="I11" s="20"/>
      <c r="J11" s="20"/>
      <c r="K11" s="20"/>
      <c r="L11" s="20"/>
      <c r="M11" s="23">
        <f t="shared" si="0"/>
        <v>50</v>
      </c>
      <c r="N11" s="20"/>
      <c r="O11" s="20"/>
      <c r="P11" s="20"/>
      <c r="Q11" s="1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9" x14ac:dyDescent="0.25">
      <c r="A12" s="26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>
        <f>115/10*6</f>
        <v>69</v>
      </c>
      <c r="L12" s="20"/>
      <c r="M12" s="23">
        <f t="shared" si="0"/>
        <v>69</v>
      </c>
      <c r="N12" s="20"/>
      <c r="O12" s="20">
        <f>170/10*6</f>
        <v>102</v>
      </c>
      <c r="P12" s="20"/>
      <c r="Q12" s="1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9" x14ac:dyDescent="0.25">
      <c r="A13" s="26">
        <v>7</v>
      </c>
      <c r="B13" s="20">
        <v>250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3">
        <f t="shared" si="0"/>
        <v>250</v>
      </c>
      <c r="N13" s="20"/>
      <c r="O13" s="20"/>
      <c r="P13" s="20"/>
      <c r="Q13" s="1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9" x14ac:dyDescent="0.25">
      <c r="A14" s="26">
        <v>8</v>
      </c>
      <c r="B14" s="21"/>
      <c r="C14" s="20">
        <f>250/10*7</f>
        <v>175</v>
      </c>
      <c r="D14" s="20"/>
      <c r="E14" s="20"/>
      <c r="F14" s="20"/>
      <c r="G14" s="20"/>
      <c r="H14" s="20"/>
      <c r="I14" s="20"/>
      <c r="J14" s="20"/>
      <c r="K14" s="20"/>
      <c r="L14" s="20"/>
      <c r="M14" s="23">
        <f t="shared" si="0"/>
        <v>175</v>
      </c>
      <c r="N14" s="20"/>
      <c r="O14" s="20"/>
      <c r="P14" s="20"/>
      <c r="Q14" s="1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9" x14ac:dyDescent="0.25">
      <c r="A15" s="26">
        <v>9</v>
      </c>
      <c r="B15" s="20"/>
      <c r="C15" s="20"/>
      <c r="D15" s="20"/>
      <c r="E15" s="20"/>
      <c r="F15" s="20"/>
      <c r="G15" s="20"/>
      <c r="H15" s="20">
        <v>96</v>
      </c>
      <c r="I15" s="20"/>
      <c r="J15" s="20"/>
      <c r="K15" s="20"/>
      <c r="L15" s="20">
        <v>47.67</v>
      </c>
      <c r="M15" s="23">
        <f t="shared" si="0"/>
        <v>143.67000000000002</v>
      </c>
      <c r="N15" s="20"/>
      <c r="O15" s="20">
        <f>255/10*6</f>
        <v>153</v>
      </c>
      <c r="P15" s="20"/>
      <c r="Q15" s="1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9" x14ac:dyDescent="0.25">
      <c r="A16" s="26">
        <v>10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>
        <v>47.67</v>
      </c>
      <c r="M16" s="23">
        <f t="shared" si="0"/>
        <v>47.67</v>
      </c>
      <c r="N16" s="20"/>
      <c r="O16" s="20"/>
      <c r="P16" s="20"/>
      <c r="Q16" s="1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9" x14ac:dyDescent="0.25">
      <c r="A17" s="26">
        <v>11</v>
      </c>
      <c r="B17" s="20"/>
      <c r="C17" s="20"/>
      <c r="D17" s="20"/>
      <c r="E17" s="20"/>
      <c r="F17" s="20"/>
      <c r="G17" s="20"/>
      <c r="H17" s="20"/>
      <c r="I17" s="20"/>
      <c r="J17" s="20"/>
      <c r="K17" s="20">
        <f>230/10*6</f>
        <v>138</v>
      </c>
      <c r="L17" s="20"/>
      <c r="M17" s="23">
        <f t="shared" si="0"/>
        <v>138</v>
      </c>
      <c r="N17" s="20"/>
      <c r="O17" s="20"/>
      <c r="P17" s="20"/>
      <c r="Q17" s="1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9" x14ac:dyDescent="0.25">
      <c r="A18" s="26">
        <v>12</v>
      </c>
      <c r="B18" s="20"/>
      <c r="C18" s="20"/>
      <c r="D18" s="20"/>
      <c r="E18" s="20">
        <v>575</v>
      </c>
      <c r="F18" s="20"/>
      <c r="G18" s="20"/>
      <c r="H18" s="20"/>
      <c r="I18" s="20"/>
      <c r="J18" s="20"/>
      <c r="K18" s="20"/>
      <c r="L18" s="20"/>
      <c r="M18" s="23">
        <f t="shared" si="0"/>
        <v>575</v>
      </c>
      <c r="N18" s="20"/>
      <c r="O18" s="20"/>
      <c r="P18" s="20"/>
      <c r="Q18" s="1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9" x14ac:dyDescent="0.25">
      <c r="A19" s="26">
        <v>13</v>
      </c>
      <c r="B19" s="20"/>
      <c r="C19" s="20"/>
      <c r="D19" s="20"/>
      <c r="E19" s="20"/>
      <c r="F19" s="20"/>
      <c r="G19" s="20"/>
      <c r="H19" s="20">
        <v>96</v>
      </c>
      <c r="I19" s="20"/>
      <c r="J19" s="20"/>
      <c r="K19" s="20"/>
      <c r="L19" s="20">
        <v>47.67</v>
      </c>
      <c r="M19" s="23">
        <f t="shared" si="0"/>
        <v>143.67000000000002</v>
      </c>
      <c r="N19" s="20"/>
      <c r="O19" s="20"/>
      <c r="P19" s="20"/>
      <c r="Q19" s="1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9" x14ac:dyDescent="0.25">
      <c r="A20" s="26">
        <v>14</v>
      </c>
      <c r="B20" s="20"/>
      <c r="C20" s="20"/>
      <c r="D20" s="20"/>
      <c r="E20" s="20"/>
      <c r="F20" s="20">
        <f>500/10*6</f>
        <v>300</v>
      </c>
      <c r="G20" s="20">
        <f>150/10*6</f>
        <v>90</v>
      </c>
      <c r="H20" s="20">
        <v>96</v>
      </c>
      <c r="I20" s="20">
        <f>3*20</f>
        <v>60</v>
      </c>
      <c r="J20" s="20">
        <f>125/10*6</f>
        <v>75</v>
      </c>
      <c r="K20" s="20"/>
      <c r="L20" s="20"/>
      <c r="M20" s="23">
        <f t="shared" si="0"/>
        <v>621</v>
      </c>
      <c r="N20" s="20"/>
      <c r="O20" s="20"/>
      <c r="P20" s="20"/>
      <c r="Q20" s="1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9" x14ac:dyDescent="0.25">
      <c r="A21" s="26">
        <v>15</v>
      </c>
      <c r="B21" s="20"/>
      <c r="C21" s="20"/>
      <c r="D21" s="20"/>
      <c r="E21" s="20"/>
      <c r="F21" s="20"/>
      <c r="G21" s="20">
        <f>150/10*6</f>
        <v>90</v>
      </c>
      <c r="H21" s="20">
        <v>96</v>
      </c>
      <c r="I21" s="20">
        <f>1*20</f>
        <v>20</v>
      </c>
      <c r="J21" s="20"/>
      <c r="K21" s="20">
        <f>230/10*6</f>
        <v>138</v>
      </c>
      <c r="L21" s="20">
        <v>47.67</v>
      </c>
      <c r="M21" s="23">
        <f t="shared" si="0"/>
        <v>391.67</v>
      </c>
      <c r="N21" s="20"/>
      <c r="O21" s="20">
        <f>510/10*6</f>
        <v>306</v>
      </c>
      <c r="P21" s="20"/>
      <c r="Q21" s="1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9" x14ac:dyDescent="0.25">
      <c r="A22" s="26">
        <v>16</v>
      </c>
      <c r="B22" s="20"/>
      <c r="C22" s="20"/>
      <c r="D22" s="20"/>
      <c r="E22" s="20"/>
      <c r="F22" s="20"/>
      <c r="G22" s="20"/>
      <c r="H22" s="20">
        <v>96</v>
      </c>
      <c r="I22" s="20"/>
      <c r="J22" s="20"/>
      <c r="K22" s="21"/>
      <c r="L22" s="20">
        <v>47.67</v>
      </c>
      <c r="M22" s="23">
        <f t="shared" si="0"/>
        <v>143.67000000000002</v>
      </c>
      <c r="N22" s="20"/>
      <c r="O22" s="20"/>
      <c r="P22" s="20"/>
      <c r="Q22" s="1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9" x14ac:dyDescent="0.25">
      <c r="A23" s="26">
        <v>17</v>
      </c>
      <c r="B23" s="20"/>
      <c r="C23" s="20"/>
      <c r="D23" s="20"/>
      <c r="E23" s="20"/>
      <c r="F23" s="20">
        <f>500/10*6-50</f>
        <v>250</v>
      </c>
      <c r="G23" s="20"/>
      <c r="H23" s="20"/>
      <c r="I23" s="20"/>
      <c r="J23" s="20"/>
      <c r="K23" s="20"/>
      <c r="L23" s="20"/>
      <c r="M23" s="23">
        <f t="shared" si="0"/>
        <v>250</v>
      </c>
      <c r="N23" s="20"/>
      <c r="O23" s="20"/>
      <c r="P23" s="20"/>
      <c r="Q23" s="1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9" x14ac:dyDescent="0.25">
      <c r="A24" s="2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3"/>
      <c r="N24" s="20"/>
      <c r="O24" s="20"/>
      <c r="P24" s="20"/>
      <c r="Q24" s="1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9" x14ac:dyDescent="0.25">
      <c r="A25" s="48" t="s">
        <v>18</v>
      </c>
      <c r="B25" s="49">
        <f t="shared" ref="B25:P25" si="1">SUM(B7:B24)</f>
        <v>250</v>
      </c>
      <c r="C25" s="49">
        <f t="shared" si="1"/>
        <v>175</v>
      </c>
      <c r="D25" s="49">
        <f t="shared" si="1"/>
        <v>200</v>
      </c>
      <c r="E25" s="49">
        <f t="shared" si="1"/>
        <v>575</v>
      </c>
      <c r="F25" s="49">
        <f t="shared" si="1"/>
        <v>600</v>
      </c>
      <c r="G25" s="49">
        <f t="shared" si="1"/>
        <v>180</v>
      </c>
      <c r="H25" s="49">
        <f t="shared" si="1"/>
        <v>480</v>
      </c>
      <c r="I25" s="49">
        <f t="shared" si="1"/>
        <v>80</v>
      </c>
      <c r="J25" s="49">
        <f t="shared" si="1"/>
        <v>75</v>
      </c>
      <c r="K25" s="49">
        <f t="shared" si="1"/>
        <v>483</v>
      </c>
      <c r="L25" s="49">
        <f t="shared" si="1"/>
        <v>238.35000000000002</v>
      </c>
      <c r="M25" s="49">
        <f t="shared" si="1"/>
        <v>3336.3500000000004</v>
      </c>
      <c r="N25" s="49">
        <f t="shared" si="1"/>
        <v>3420</v>
      </c>
      <c r="O25" s="49">
        <f t="shared" si="1"/>
        <v>1229.55</v>
      </c>
      <c r="P25" s="49">
        <f t="shared" si="1"/>
        <v>62.5</v>
      </c>
      <c r="Q25" s="1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9" x14ac:dyDescent="0.25">
      <c r="A26" s="48" t="s">
        <v>19</v>
      </c>
      <c r="B26" s="23">
        <v>250</v>
      </c>
      <c r="C26" s="23">
        <v>250</v>
      </c>
      <c r="D26" s="23">
        <v>200</v>
      </c>
      <c r="E26" s="23">
        <v>575</v>
      </c>
      <c r="F26" s="23">
        <v>1000</v>
      </c>
      <c r="G26" s="23">
        <v>300</v>
      </c>
      <c r="H26" s="23">
        <v>800</v>
      </c>
      <c r="I26" s="23">
        <v>200</v>
      </c>
      <c r="J26" s="23">
        <v>125</v>
      </c>
      <c r="K26" s="23">
        <v>805</v>
      </c>
      <c r="L26" s="23">
        <v>397.27</v>
      </c>
      <c r="M26" s="23">
        <v>5607.27</v>
      </c>
      <c r="N26" s="23">
        <v>3420</v>
      </c>
      <c r="O26" s="23">
        <v>2062.5500000000002</v>
      </c>
      <c r="P26" s="23">
        <f>580+125</f>
        <v>705</v>
      </c>
      <c r="Q26" s="27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x14ac:dyDescent="0.25">
      <c r="A27" s="50" t="s">
        <v>20</v>
      </c>
      <c r="B27" s="51">
        <f t="shared" ref="B27" si="2">B26-B25</f>
        <v>0</v>
      </c>
      <c r="C27" s="51">
        <f>C26-C25</f>
        <v>75</v>
      </c>
      <c r="D27" s="51">
        <f t="shared" ref="D27:M27" si="3">D26-D25</f>
        <v>0</v>
      </c>
      <c r="E27" s="51">
        <f t="shared" si="3"/>
        <v>0</v>
      </c>
      <c r="F27" s="51">
        <f t="shared" si="3"/>
        <v>400</v>
      </c>
      <c r="G27" s="51">
        <f t="shared" si="3"/>
        <v>120</v>
      </c>
      <c r="H27" s="51">
        <f t="shared" si="3"/>
        <v>320</v>
      </c>
      <c r="I27" s="51">
        <f t="shared" si="3"/>
        <v>120</v>
      </c>
      <c r="J27" s="51">
        <f t="shared" si="3"/>
        <v>50</v>
      </c>
      <c r="K27" s="51">
        <f t="shared" si="3"/>
        <v>322</v>
      </c>
      <c r="L27" s="51">
        <f t="shared" si="3"/>
        <v>158.91999999999996</v>
      </c>
      <c r="M27" s="51">
        <f t="shared" si="3"/>
        <v>2270.92</v>
      </c>
      <c r="N27" s="52" t="s">
        <v>21</v>
      </c>
      <c r="O27" s="51">
        <f>O26-O25</f>
        <v>833.00000000000023</v>
      </c>
      <c r="P27" s="21"/>
      <c r="Q27" s="27"/>
      <c r="AB27" s="8"/>
    </row>
    <row r="28" spans="1:29" x14ac:dyDescent="0.25">
      <c r="A28" s="26"/>
      <c r="B28" s="21"/>
      <c r="C28" s="21"/>
      <c r="D28" s="21"/>
      <c r="E28" s="21"/>
      <c r="F28" s="21"/>
      <c r="G28" s="21"/>
      <c r="H28" s="53" t="s">
        <v>22</v>
      </c>
      <c r="I28" s="21"/>
      <c r="J28" s="21"/>
      <c r="K28" s="20"/>
      <c r="L28" s="53" t="s">
        <v>22</v>
      </c>
      <c r="M28" s="21"/>
      <c r="N28" s="21"/>
      <c r="O28" s="25"/>
      <c r="P28" s="21"/>
      <c r="Q28" s="27"/>
    </row>
    <row r="29" spans="1:29" x14ac:dyDescent="0.25">
      <c r="A29" s="26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1"/>
      <c r="O29" s="21"/>
      <c r="P29" s="21"/>
      <c r="Q29" s="27"/>
    </row>
    <row r="30" spans="1:29" x14ac:dyDescent="0.25">
      <c r="A30" s="53" t="s">
        <v>22</v>
      </c>
      <c r="B30" s="21" t="s">
        <v>23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7"/>
    </row>
  </sheetData>
  <pageMargins left="0.7" right="0.7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Docenti</vt:lpstr>
      <vt:lpstr>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dsga</dc:creator>
  <cp:lastModifiedBy>dsga</cp:lastModifiedBy>
  <dcterms:created xsi:type="dcterms:W3CDTF">2024-05-31T14:35:18Z</dcterms:created>
  <dcterms:modified xsi:type="dcterms:W3CDTF">2024-05-31T14:41:53Z</dcterms:modified>
</cp:coreProperties>
</file>