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735" yWindow="465" windowWidth="10695" windowHeight="8235"/>
  </bookViews>
  <sheets>
    <sheet name="fis con ore" sheetId="1" r:id="rId1"/>
    <sheet name="da allegare a contratto" sheetId="5" r:id="rId2"/>
    <sheet name="ata" sheetId="2" r:id="rId3"/>
    <sheet name="fis forfait" sheetId="3" r:id="rId4"/>
    <sheet name="simulazione importi nuovi" sheetId="4" r:id="rId5"/>
    <sheet name="Foglio2" sheetId="6" r:id="rId6"/>
  </sheets>
  <definedNames>
    <definedName name="_xlnm.Print_Area" localSheetId="1">'da allegare a contratto'!$A$1:$I$93</definedName>
  </definedNames>
  <calcPr calcId="152511"/>
</workbook>
</file>

<file path=xl/calcChain.xml><?xml version="1.0" encoding="utf-8"?>
<calcChain xmlns="http://schemas.openxmlformats.org/spreadsheetml/2006/main">
  <c r="G39" i="1" l="1"/>
  <c r="E40" i="1"/>
  <c r="G43" i="1"/>
  <c r="O35" i="5" l="1"/>
  <c r="N35" i="5"/>
  <c r="O32" i="5"/>
  <c r="N32" i="5"/>
  <c r="O28" i="5"/>
  <c r="N28" i="5"/>
  <c r="O14" i="5"/>
  <c r="N14" i="5"/>
  <c r="O10" i="5"/>
  <c r="O9" i="5"/>
  <c r="N10" i="5"/>
  <c r="O8" i="5"/>
  <c r="G45" i="5" l="1"/>
  <c r="G92" i="5" l="1"/>
  <c r="H90" i="5"/>
  <c r="I90" i="5" s="1"/>
  <c r="O12" i="5" s="1"/>
  <c r="H89" i="5"/>
  <c r="I89" i="5" s="1"/>
  <c r="O13" i="5" s="1"/>
  <c r="H88" i="5"/>
  <c r="H92" i="5" s="1"/>
  <c r="H85" i="5"/>
  <c r="G85" i="5"/>
  <c r="H84" i="5"/>
  <c r="I84" i="5" s="1"/>
  <c r="H83" i="5"/>
  <c r="I83" i="5" s="1"/>
  <c r="H80" i="5"/>
  <c r="I80" i="5" s="1"/>
  <c r="G76" i="5"/>
  <c r="H75" i="5"/>
  <c r="I75" i="5" s="1"/>
  <c r="O27" i="5" s="1"/>
  <c r="H74" i="5"/>
  <c r="I74" i="5" s="1"/>
  <c r="O26" i="5" s="1"/>
  <c r="F72" i="5"/>
  <c r="H71" i="5"/>
  <c r="I71" i="5" s="1"/>
  <c r="E70" i="5"/>
  <c r="E72" i="5" s="1"/>
  <c r="H69" i="5"/>
  <c r="I69" i="5" s="1"/>
  <c r="G68" i="5"/>
  <c r="G67" i="5"/>
  <c r="H67" i="5" s="1"/>
  <c r="I67" i="5" s="1"/>
  <c r="H66" i="5"/>
  <c r="I66" i="5" s="1"/>
  <c r="G66" i="5"/>
  <c r="G65" i="5"/>
  <c r="G64" i="5"/>
  <c r="G63" i="5"/>
  <c r="G62" i="5"/>
  <c r="H62" i="5" s="1"/>
  <c r="I62" i="5" s="1"/>
  <c r="G61" i="5"/>
  <c r="H61" i="5" s="1"/>
  <c r="E60" i="5"/>
  <c r="H59" i="5"/>
  <c r="I59" i="5" s="1"/>
  <c r="H58" i="5"/>
  <c r="I58" i="5" s="1"/>
  <c r="G58" i="5"/>
  <c r="G57" i="5"/>
  <c r="G56" i="5"/>
  <c r="G55" i="5"/>
  <c r="H55" i="5" s="1"/>
  <c r="I55" i="5" s="1"/>
  <c r="G54" i="5"/>
  <c r="H54" i="5" s="1"/>
  <c r="G53" i="5"/>
  <c r="H53" i="5" s="1"/>
  <c r="I53" i="5" s="1"/>
  <c r="G52" i="5"/>
  <c r="G51" i="5"/>
  <c r="H51" i="5" s="1"/>
  <c r="H46" i="5"/>
  <c r="I46" i="5" s="1"/>
  <c r="H45" i="5"/>
  <c r="I45" i="5" s="1"/>
  <c r="G96" i="5"/>
  <c r="G44" i="5"/>
  <c r="E43" i="5"/>
  <c r="G43" i="5" s="1"/>
  <c r="G42" i="5"/>
  <c r="H42" i="5" s="1"/>
  <c r="I42" i="5" s="1"/>
  <c r="G41" i="5"/>
  <c r="G40" i="5"/>
  <c r="G39" i="5"/>
  <c r="G38" i="5"/>
  <c r="G37" i="5"/>
  <c r="H37" i="5" s="1"/>
  <c r="I37" i="5" s="1"/>
  <c r="G36" i="5"/>
  <c r="G35" i="5"/>
  <c r="G34" i="5"/>
  <c r="G33" i="5"/>
  <c r="G32" i="5"/>
  <c r="H32" i="5" s="1"/>
  <c r="I32" i="5" s="1"/>
  <c r="G31" i="5"/>
  <c r="G30" i="5"/>
  <c r="N31" i="5"/>
  <c r="G29" i="5"/>
  <c r="H29" i="5" s="1"/>
  <c r="I29" i="5" s="1"/>
  <c r="G28" i="5"/>
  <c r="N27" i="5"/>
  <c r="G27" i="5"/>
  <c r="N26" i="5"/>
  <c r="G26" i="5"/>
  <c r="E25" i="5"/>
  <c r="E24" i="5"/>
  <c r="G24" i="5" s="1"/>
  <c r="E23" i="5"/>
  <c r="G23" i="5" s="1"/>
  <c r="E22" i="5"/>
  <c r="G22" i="5" s="1"/>
  <c r="H22" i="5" s="1"/>
  <c r="I22" i="5" s="1"/>
  <c r="E21" i="5"/>
  <c r="G21" i="5" s="1"/>
  <c r="E20" i="5"/>
  <c r="G20" i="5" s="1"/>
  <c r="E19" i="5"/>
  <c r="G19" i="5" s="1"/>
  <c r="N18" i="5"/>
  <c r="E18" i="5"/>
  <c r="G18" i="5" s="1"/>
  <c r="G17" i="5"/>
  <c r="E17" i="5"/>
  <c r="E16" i="5"/>
  <c r="G16" i="5" s="1"/>
  <c r="S15" i="5"/>
  <c r="E15" i="5"/>
  <c r="G15" i="5" s="1"/>
  <c r="S14" i="5"/>
  <c r="S16" i="5" s="1"/>
  <c r="T16" i="5" s="1"/>
  <c r="E14" i="5"/>
  <c r="G14" i="5" s="1"/>
  <c r="E13" i="5"/>
  <c r="G13" i="5" s="1"/>
  <c r="N13" i="5"/>
  <c r="E12" i="5"/>
  <c r="G12" i="5" s="1"/>
  <c r="N12" i="5"/>
  <c r="G11" i="5"/>
  <c r="N9" i="5"/>
  <c r="G10" i="5"/>
  <c r="G9" i="5"/>
  <c r="H8" i="5"/>
  <c r="I8" i="5" s="1"/>
  <c r="G8" i="5"/>
  <c r="G7" i="5"/>
  <c r="G6" i="5"/>
  <c r="G5" i="5"/>
  <c r="N5" i="5" s="1"/>
  <c r="E5" i="5"/>
  <c r="F2" i="5"/>
  <c r="F1" i="5"/>
  <c r="F3" i="5" s="1"/>
  <c r="I6" i="5" l="1"/>
  <c r="I40" i="5"/>
  <c r="H5" i="5"/>
  <c r="I5" i="5" s="1"/>
  <c r="O5" i="5" s="1"/>
  <c r="H35" i="5"/>
  <c r="I35" i="5" s="1"/>
  <c r="H6" i="5"/>
  <c r="M36" i="5"/>
  <c r="I85" i="5"/>
  <c r="O31" i="5" s="1"/>
  <c r="H40" i="5"/>
  <c r="H21" i="5"/>
  <c r="I21" i="5" s="1"/>
  <c r="H13" i="5"/>
  <c r="I13" i="5" s="1"/>
  <c r="H12" i="5"/>
  <c r="I12" i="5"/>
  <c r="H14" i="5"/>
  <c r="I14" i="5" s="1"/>
  <c r="H15" i="5"/>
  <c r="I15" i="5" s="1"/>
  <c r="M43" i="5"/>
  <c r="I52" i="5"/>
  <c r="H16" i="5"/>
  <c r="I16" i="5" s="1"/>
  <c r="H19" i="5"/>
  <c r="I19" i="5" s="1"/>
  <c r="H43" i="5"/>
  <c r="I43" i="5" s="1"/>
  <c r="N6" i="5"/>
  <c r="I33" i="5"/>
  <c r="H23" i="5"/>
  <c r="I23" i="5" s="1"/>
  <c r="I51" i="5"/>
  <c r="H18" i="5"/>
  <c r="I18" i="5" s="1"/>
  <c r="I9" i="5"/>
  <c r="I56" i="5"/>
  <c r="I2" i="5"/>
  <c r="I1" i="5"/>
  <c r="H20" i="5"/>
  <c r="I20" i="5"/>
  <c r="H17" i="5"/>
  <c r="I17" i="5" s="1"/>
  <c r="H28" i="5"/>
  <c r="I28" i="5" s="1"/>
  <c r="H36" i="5"/>
  <c r="I36" i="5" s="1"/>
  <c r="H41" i="5"/>
  <c r="I41" i="5" s="1"/>
  <c r="G70" i="5"/>
  <c r="H9" i="5"/>
  <c r="I88" i="5"/>
  <c r="G25" i="5"/>
  <c r="N7" i="5" s="1"/>
  <c r="E47" i="5"/>
  <c r="I54" i="5"/>
  <c r="G60" i="5"/>
  <c r="H65" i="5"/>
  <c r="I65" i="5" s="1"/>
  <c r="H76" i="5"/>
  <c r="H24" i="5"/>
  <c r="I24" i="5" s="1"/>
  <c r="I76" i="5"/>
  <c r="H31" i="5"/>
  <c r="I31" i="5" s="1"/>
  <c r="H64" i="5"/>
  <c r="I64" i="5" s="1"/>
  <c r="H10" i="5"/>
  <c r="I10" i="5" s="1"/>
  <c r="H33" i="5"/>
  <c r="H38" i="5"/>
  <c r="I38" i="5" s="1"/>
  <c r="H56" i="5"/>
  <c r="I61" i="5"/>
  <c r="H7" i="5"/>
  <c r="I7" i="5" s="1"/>
  <c r="H26" i="5"/>
  <c r="I26" i="5" s="1"/>
  <c r="H44" i="5"/>
  <c r="I44" i="5" s="1"/>
  <c r="H34" i="5"/>
  <c r="I34" i="5" s="1"/>
  <c r="H39" i="5"/>
  <c r="I39" i="5" s="1"/>
  <c r="H11" i="5"/>
  <c r="I11" i="5" s="1"/>
  <c r="H27" i="5"/>
  <c r="I27" i="5" s="1"/>
  <c r="H52" i="5"/>
  <c r="H60" i="5" s="1"/>
  <c r="H68" i="5"/>
  <c r="I68" i="5" s="1"/>
  <c r="H63" i="5"/>
  <c r="I63" i="5" s="1"/>
  <c r="H30" i="5"/>
  <c r="I30" i="5" s="1"/>
  <c r="H57" i="5"/>
  <c r="I57" i="5" s="1"/>
  <c r="H46" i="1"/>
  <c r="I46" i="1" s="1"/>
  <c r="N26" i="1"/>
  <c r="N11" i="1"/>
  <c r="N10" i="1"/>
  <c r="O6" i="5" l="1"/>
  <c r="N16" i="5"/>
  <c r="N23" i="5" s="1"/>
  <c r="I60" i="5"/>
  <c r="H70" i="5"/>
  <c r="H72" i="5" s="1"/>
  <c r="G72" i="5"/>
  <c r="N30" i="5"/>
  <c r="I3" i="5"/>
  <c r="H25" i="5"/>
  <c r="H47" i="5" s="1"/>
  <c r="H73" i="5" s="1"/>
  <c r="H77" i="5" s="1"/>
  <c r="H93" i="5" s="1"/>
  <c r="O18" i="5"/>
  <c r="I92" i="5"/>
  <c r="G47" i="5"/>
  <c r="G73" i="5" s="1"/>
  <c r="G77" i="5" s="1"/>
  <c r="G93" i="5" s="1"/>
  <c r="G95" i="5" s="1"/>
  <c r="I70" i="5"/>
  <c r="G96" i="1"/>
  <c r="I25" i="5" l="1"/>
  <c r="M47" i="5"/>
  <c r="I72" i="5"/>
  <c r="O30" i="5"/>
  <c r="G42" i="1"/>
  <c r="H42" i="1" s="1"/>
  <c r="I42" i="1" s="1"/>
  <c r="I47" i="5" l="1"/>
  <c r="I73" i="5" s="1"/>
  <c r="I77" i="5" s="1"/>
  <c r="I93" i="5" s="1"/>
  <c r="O7" i="5"/>
  <c r="O16" i="5" s="1"/>
  <c r="O23" i="5" s="1"/>
  <c r="S16" i="1"/>
  <c r="T16" i="1" s="1"/>
  <c r="S15" i="1"/>
  <c r="S14" i="1"/>
  <c r="E19" i="1"/>
  <c r="G19" i="1" s="1"/>
  <c r="E21" i="1"/>
  <c r="G21" i="1" s="1"/>
  <c r="E20" i="1"/>
  <c r="H19" i="1" l="1"/>
  <c r="I19" i="1" s="1"/>
  <c r="H21" i="1"/>
  <c r="I21" i="1" s="1"/>
  <c r="G68" i="4" l="1"/>
  <c r="G42" i="4"/>
  <c r="G93" i="4"/>
  <c r="G89" i="4"/>
  <c r="I87" i="4"/>
  <c r="H87" i="4"/>
  <c r="H89" i="4" s="1"/>
  <c r="H86" i="4"/>
  <c r="I86" i="4" s="1"/>
  <c r="O12" i="4" s="1"/>
  <c r="H85" i="4"/>
  <c r="I85" i="4" s="1"/>
  <c r="H82" i="4"/>
  <c r="G82" i="4"/>
  <c r="H81" i="4"/>
  <c r="I81" i="4" s="1"/>
  <c r="I80" i="4"/>
  <c r="I82" i="4" s="1"/>
  <c r="O27" i="4" s="1"/>
  <c r="H80" i="4"/>
  <c r="H77" i="4"/>
  <c r="I77" i="4" s="1"/>
  <c r="O10" i="4" s="1"/>
  <c r="O14" i="4" s="1"/>
  <c r="H73" i="4"/>
  <c r="G73" i="4"/>
  <c r="I72" i="4"/>
  <c r="O25" i="4" s="1"/>
  <c r="H72" i="4"/>
  <c r="I71" i="4"/>
  <c r="I73" i="4" s="1"/>
  <c r="H71" i="4"/>
  <c r="F69" i="4"/>
  <c r="H68" i="4"/>
  <c r="I68" i="4" s="1"/>
  <c r="E67" i="4"/>
  <c r="I66" i="4"/>
  <c r="H66" i="4"/>
  <c r="G65" i="4"/>
  <c r="G64" i="4"/>
  <c r="H63" i="4"/>
  <c r="G63" i="4"/>
  <c r="G62" i="4"/>
  <c r="H62" i="4" s="1"/>
  <c r="G61" i="4"/>
  <c r="G60" i="4"/>
  <c r="G59" i="4"/>
  <c r="H59" i="4" s="1"/>
  <c r="I59" i="4" s="1"/>
  <c r="G58" i="4"/>
  <c r="E57" i="4"/>
  <c r="E69" i="4" s="1"/>
  <c r="I56" i="4"/>
  <c r="H56" i="4"/>
  <c r="G55" i="4"/>
  <c r="H55" i="4" s="1"/>
  <c r="I55" i="4" s="1"/>
  <c r="H54" i="4"/>
  <c r="I54" i="4" s="1"/>
  <c r="G54" i="4"/>
  <c r="G53" i="4"/>
  <c r="G52" i="4"/>
  <c r="G51" i="4"/>
  <c r="H51" i="4" s="1"/>
  <c r="I51" i="4" s="1"/>
  <c r="G50" i="4"/>
  <c r="H50" i="4" s="1"/>
  <c r="I50" i="4" s="1"/>
  <c r="G49" i="4"/>
  <c r="G48" i="4"/>
  <c r="H48" i="4" s="1"/>
  <c r="I43" i="4"/>
  <c r="H43" i="4"/>
  <c r="H42" i="4"/>
  <c r="I42" i="4" s="1"/>
  <c r="G41" i="4"/>
  <c r="H41" i="4" s="1"/>
  <c r="I41" i="4" s="1"/>
  <c r="E40" i="4"/>
  <c r="G40" i="4" s="1"/>
  <c r="G39" i="4"/>
  <c r="G38" i="4"/>
  <c r="E38" i="4"/>
  <c r="G37" i="4"/>
  <c r="G36" i="4"/>
  <c r="G35" i="4"/>
  <c r="H35" i="4" s="1"/>
  <c r="I35" i="4" s="1"/>
  <c r="G34" i="4"/>
  <c r="G33" i="4"/>
  <c r="H32" i="4"/>
  <c r="G32" i="4"/>
  <c r="I32" i="4" s="1"/>
  <c r="G31" i="4"/>
  <c r="H31" i="4" s="1"/>
  <c r="I31" i="4" s="1"/>
  <c r="G30" i="4"/>
  <c r="G29" i="4"/>
  <c r="H28" i="4"/>
  <c r="G28" i="4"/>
  <c r="I28" i="4" s="1"/>
  <c r="N27" i="4"/>
  <c r="G27" i="4"/>
  <c r="G26" i="4"/>
  <c r="N25" i="4"/>
  <c r="G25" i="4"/>
  <c r="H25" i="4" s="1"/>
  <c r="I25" i="4" s="1"/>
  <c r="N24" i="4"/>
  <c r="G24" i="4"/>
  <c r="E23" i="4"/>
  <c r="G23" i="4" s="1"/>
  <c r="G22" i="4"/>
  <c r="E21" i="4"/>
  <c r="G21" i="4" s="1"/>
  <c r="E20" i="4"/>
  <c r="G20" i="4" s="1"/>
  <c r="G19" i="4"/>
  <c r="E19" i="4"/>
  <c r="N18" i="4"/>
  <c r="E18" i="4"/>
  <c r="G18" i="4" s="1"/>
  <c r="E17" i="4"/>
  <c r="G17" i="4" s="1"/>
  <c r="E16" i="4"/>
  <c r="G16" i="4" s="1"/>
  <c r="E15" i="4"/>
  <c r="G15" i="4" s="1"/>
  <c r="E14" i="4"/>
  <c r="G14" i="4" s="1"/>
  <c r="E13" i="4"/>
  <c r="G13" i="4" s="1"/>
  <c r="N12" i="4"/>
  <c r="E12" i="4"/>
  <c r="G12" i="4" s="1"/>
  <c r="O11" i="4"/>
  <c r="N11" i="4"/>
  <c r="N14" i="4" s="1"/>
  <c r="H11" i="4"/>
  <c r="I11" i="4" s="1"/>
  <c r="G11" i="4"/>
  <c r="N10" i="4"/>
  <c r="G10" i="4"/>
  <c r="H10" i="4" s="1"/>
  <c r="I10" i="4" s="1"/>
  <c r="G9" i="4"/>
  <c r="H9" i="4" s="1"/>
  <c r="I9" i="4" s="1"/>
  <c r="O8" i="4"/>
  <c r="G8" i="4"/>
  <c r="G7" i="4"/>
  <c r="G6" i="4"/>
  <c r="G5" i="4"/>
  <c r="E5" i="4"/>
  <c r="E44" i="4" s="1"/>
  <c r="F2" i="4"/>
  <c r="F1" i="4"/>
  <c r="F3" i="4" s="1"/>
  <c r="G93" i="3"/>
  <c r="G89" i="3"/>
  <c r="H87" i="3"/>
  <c r="H89" i="3" s="1"/>
  <c r="H86" i="3"/>
  <c r="I86" i="3" s="1"/>
  <c r="O12" i="3" s="1"/>
  <c r="H85" i="3"/>
  <c r="I85" i="3" s="1"/>
  <c r="H82" i="3"/>
  <c r="G82" i="3"/>
  <c r="I81" i="3"/>
  <c r="I82" i="3" s="1"/>
  <c r="O27" i="3" s="1"/>
  <c r="H81" i="3"/>
  <c r="I80" i="3"/>
  <c r="H80" i="3"/>
  <c r="H77" i="3"/>
  <c r="I77" i="3" s="1"/>
  <c r="O10" i="3" s="1"/>
  <c r="G73" i="3"/>
  <c r="H72" i="3"/>
  <c r="I72" i="3" s="1"/>
  <c r="O25" i="3" s="1"/>
  <c r="I71" i="3"/>
  <c r="I73" i="3" s="1"/>
  <c r="H71" i="3"/>
  <c r="H73" i="3" s="1"/>
  <c r="F69" i="3"/>
  <c r="I68" i="3"/>
  <c r="H68" i="3"/>
  <c r="E67" i="3"/>
  <c r="E69" i="3" s="1"/>
  <c r="I66" i="3"/>
  <c r="H66" i="3"/>
  <c r="I65" i="3"/>
  <c r="H65" i="3"/>
  <c r="G65" i="3"/>
  <c r="G64" i="3"/>
  <c r="G63" i="3"/>
  <c r="G62" i="3"/>
  <c r="G61" i="3"/>
  <c r="H60" i="3"/>
  <c r="G60" i="3"/>
  <c r="I60" i="3" s="1"/>
  <c r="G59" i="3"/>
  <c r="H59" i="3" s="1"/>
  <c r="I59" i="3" s="1"/>
  <c r="G58" i="3"/>
  <c r="E57" i="3"/>
  <c r="H56" i="3"/>
  <c r="I56" i="3" s="1"/>
  <c r="G55" i="3"/>
  <c r="H55" i="3" s="1"/>
  <c r="I54" i="3"/>
  <c r="H54" i="3"/>
  <c r="G54" i="3"/>
  <c r="H53" i="3"/>
  <c r="G53" i="3"/>
  <c r="I53" i="3" s="1"/>
  <c r="H52" i="3"/>
  <c r="I52" i="3" s="1"/>
  <c r="G52" i="3"/>
  <c r="G51" i="3"/>
  <c r="G50" i="3"/>
  <c r="H50" i="3" s="1"/>
  <c r="I50" i="3" s="1"/>
  <c r="G49" i="3"/>
  <c r="G48" i="3"/>
  <c r="H43" i="3"/>
  <c r="I43" i="3" s="1"/>
  <c r="H42" i="3"/>
  <c r="I42" i="3" s="1"/>
  <c r="G41" i="3"/>
  <c r="H41" i="3" s="1"/>
  <c r="E40" i="3"/>
  <c r="G40" i="3" s="1"/>
  <c r="G39" i="3"/>
  <c r="E38" i="3"/>
  <c r="G38" i="3" s="1"/>
  <c r="G37" i="3"/>
  <c r="G36" i="3"/>
  <c r="G35" i="3"/>
  <c r="H35" i="3" s="1"/>
  <c r="I35" i="3" s="1"/>
  <c r="G34" i="3"/>
  <c r="G33" i="3"/>
  <c r="H33" i="3" s="1"/>
  <c r="I33" i="3" s="1"/>
  <c r="G32" i="3"/>
  <c r="H32" i="3" s="1"/>
  <c r="H31" i="3"/>
  <c r="G31" i="3"/>
  <c r="I30" i="3"/>
  <c r="H30" i="3"/>
  <c r="G30" i="3"/>
  <c r="G29" i="3"/>
  <c r="G28" i="3"/>
  <c r="H28" i="3" s="1"/>
  <c r="N27" i="3"/>
  <c r="G27" i="3"/>
  <c r="H27" i="3" s="1"/>
  <c r="G26" i="3"/>
  <c r="N25" i="3"/>
  <c r="G25" i="3"/>
  <c r="N24" i="3"/>
  <c r="G24" i="3"/>
  <c r="H24" i="3" s="1"/>
  <c r="I24" i="3" s="1"/>
  <c r="E23" i="3"/>
  <c r="G23" i="3" s="1"/>
  <c r="G22" i="3"/>
  <c r="H22" i="3" s="1"/>
  <c r="E21" i="3"/>
  <c r="G21" i="3" s="1"/>
  <c r="H20" i="3"/>
  <c r="I20" i="3" s="1"/>
  <c r="G20" i="3"/>
  <c r="E20" i="3"/>
  <c r="E19" i="3"/>
  <c r="G19" i="3" s="1"/>
  <c r="N18" i="3"/>
  <c r="E18" i="3"/>
  <c r="G18" i="3" s="1"/>
  <c r="E17" i="3"/>
  <c r="G17" i="3" s="1"/>
  <c r="E16" i="3"/>
  <c r="G16" i="3" s="1"/>
  <c r="E15" i="3"/>
  <c r="G15" i="3" s="1"/>
  <c r="E14" i="3"/>
  <c r="G14" i="3" s="1"/>
  <c r="E13" i="3"/>
  <c r="G13" i="3" s="1"/>
  <c r="N12" i="3"/>
  <c r="E12" i="3"/>
  <c r="G12" i="3" s="1"/>
  <c r="N11" i="3"/>
  <c r="G11" i="3"/>
  <c r="H11" i="3" s="1"/>
  <c r="N10" i="3"/>
  <c r="N14" i="3" s="1"/>
  <c r="G10" i="3"/>
  <c r="H10" i="3" s="1"/>
  <c r="I10" i="3" s="1"/>
  <c r="H9" i="3"/>
  <c r="I9" i="3" s="1"/>
  <c r="G9" i="3"/>
  <c r="O8" i="3"/>
  <c r="G8" i="3"/>
  <c r="H8" i="3" s="1"/>
  <c r="I7" i="3"/>
  <c r="H7" i="3"/>
  <c r="G7" i="3"/>
  <c r="G6" i="3"/>
  <c r="E5" i="3"/>
  <c r="E44" i="3" s="1"/>
  <c r="F2" i="3"/>
  <c r="F3" i="3" s="1"/>
  <c r="F1" i="3"/>
  <c r="H71" i="1"/>
  <c r="I71" i="1" s="1"/>
  <c r="G33" i="1"/>
  <c r="I63" i="4" l="1"/>
  <c r="G67" i="4"/>
  <c r="I62" i="4"/>
  <c r="H30" i="4"/>
  <c r="I30" i="4" s="1"/>
  <c r="H8" i="4"/>
  <c r="I8" i="4" s="1"/>
  <c r="H21" i="4"/>
  <c r="I21" i="4" s="1"/>
  <c r="I48" i="4"/>
  <c r="H23" i="4"/>
  <c r="I23" i="4" s="1"/>
  <c r="I34" i="4"/>
  <c r="H12" i="4"/>
  <c r="I12" i="4" s="1"/>
  <c r="I22" i="4"/>
  <c r="H13" i="4"/>
  <c r="I13" i="4" s="1"/>
  <c r="G44" i="4"/>
  <c r="H14" i="4"/>
  <c r="I14" i="4" s="1"/>
  <c r="I26" i="4"/>
  <c r="N7" i="4"/>
  <c r="H15" i="4"/>
  <c r="I15" i="4" s="1"/>
  <c r="I27" i="4"/>
  <c r="I38" i="4"/>
  <c r="I89" i="4"/>
  <c r="O18" i="4"/>
  <c r="H16" i="4"/>
  <c r="I16" i="4" s="1"/>
  <c r="H20" i="4"/>
  <c r="I20" i="4" s="1"/>
  <c r="H18" i="4"/>
  <c r="I18" i="4"/>
  <c r="I1" i="4"/>
  <c r="I2" i="4"/>
  <c r="H17" i="4"/>
  <c r="I17" i="4" s="1"/>
  <c r="H40" i="4"/>
  <c r="I40" i="4" s="1"/>
  <c r="O6" i="4" s="1"/>
  <c r="N6" i="4"/>
  <c r="O24" i="4"/>
  <c r="H37" i="4"/>
  <c r="I37" i="4" s="1"/>
  <c r="H61" i="4"/>
  <c r="I61" i="4" s="1"/>
  <c r="H5" i="4"/>
  <c r="N5" i="4"/>
  <c r="H33" i="4"/>
  <c r="I33" i="4" s="1"/>
  <c r="H38" i="4"/>
  <c r="H52" i="4"/>
  <c r="I52" i="4" s="1"/>
  <c r="H22" i="4"/>
  <c r="H29" i="4"/>
  <c r="I29" i="4" s="1"/>
  <c r="G57" i="4"/>
  <c r="H6" i="4"/>
  <c r="I6" i="4" s="1"/>
  <c r="H26" i="4"/>
  <c r="H34" i="4"/>
  <c r="H39" i="4"/>
  <c r="I39" i="4" s="1"/>
  <c r="H58" i="4"/>
  <c r="I58" i="4" s="1"/>
  <c r="H53" i="4"/>
  <c r="I53" i="4" s="1"/>
  <c r="H19" i="4"/>
  <c r="I19" i="4" s="1"/>
  <c r="H64" i="4"/>
  <c r="I64" i="4" s="1"/>
  <c r="H7" i="4"/>
  <c r="I7" i="4" s="1"/>
  <c r="H27" i="4"/>
  <c r="H49" i="4"/>
  <c r="H65" i="4"/>
  <c r="I65" i="4" s="1"/>
  <c r="H24" i="4"/>
  <c r="I24" i="4" s="1"/>
  <c r="H36" i="4"/>
  <c r="I36" i="4" s="1"/>
  <c r="H60" i="4"/>
  <c r="I60" i="4" s="1"/>
  <c r="H49" i="3"/>
  <c r="I49" i="3" s="1"/>
  <c r="H36" i="3"/>
  <c r="I36" i="3" s="1"/>
  <c r="I31" i="3"/>
  <c r="I27" i="3"/>
  <c r="I1" i="3"/>
  <c r="I2" i="3"/>
  <c r="H13" i="3"/>
  <c r="I13" i="3" s="1"/>
  <c r="H17" i="3"/>
  <c r="I17" i="3" s="1"/>
  <c r="I18" i="3"/>
  <c r="H18" i="3"/>
  <c r="I6" i="3"/>
  <c r="H16" i="3"/>
  <c r="I16" i="3" s="1"/>
  <c r="H40" i="3"/>
  <c r="I40" i="3" s="1"/>
  <c r="N6" i="3"/>
  <c r="N7" i="3"/>
  <c r="H12" i="3"/>
  <c r="I12" i="3" s="1"/>
  <c r="I38" i="3"/>
  <c r="H38" i="3"/>
  <c r="H19" i="3"/>
  <c r="I19" i="3" s="1"/>
  <c r="O18" i="3"/>
  <c r="H21" i="3"/>
  <c r="I21" i="3"/>
  <c r="H14" i="3"/>
  <c r="I14" i="3" s="1"/>
  <c r="H15" i="3"/>
  <c r="I15" i="3"/>
  <c r="H23" i="3"/>
  <c r="I23" i="3" s="1"/>
  <c r="I58" i="3"/>
  <c r="I55" i="3"/>
  <c r="I8" i="3"/>
  <c r="H25" i="3"/>
  <c r="I25" i="3" s="1"/>
  <c r="I28" i="3"/>
  <c r="I32" i="3"/>
  <c r="H51" i="3"/>
  <c r="I51" i="3" s="1"/>
  <c r="I41" i="3"/>
  <c r="I11" i="3"/>
  <c r="O24" i="3"/>
  <c r="G5" i="3"/>
  <c r="G57" i="3"/>
  <c r="H62" i="3"/>
  <c r="I62" i="3" s="1"/>
  <c r="H37" i="3"/>
  <c r="I37" i="3" s="1"/>
  <c r="H61" i="3"/>
  <c r="I61" i="3" s="1"/>
  <c r="G67" i="3"/>
  <c r="H63" i="3"/>
  <c r="I63" i="3" s="1"/>
  <c r="I87" i="3"/>
  <c r="O11" i="3" s="1"/>
  <c r="O14" i="3" s="1"/>
  <c r="H29" i="3"/>
  <c r="I29" i="3" s="1"/>
  <c r="H6" i="3"/>
  <c r="I22" i="3"/>
  <c r="H26" i="3"/>
  <c r="I26" i="3" s="1"/>
  <c r="H34" i="3"/>
  <c r="I34" i="3" s="1"/>
  <c r="H39" i="3"/>
  <c r="I39" i="3" s="1"/>
  <c r="H58" i="3"/>
  <c r="H48" i="3"/>
  <c r="H57" i="3" s="1"/>
  <c r="H64" i="3"/>
  <c r="I64" i="3" s="1"/>
  <c r="H33" i="1"/>
  <c r="I33" i="1" s="1"/>
  <c r="H57" i="4" l="1"/>
  <c r="H69" i="4" s="1"/>
  <c r="I3" i="4"/>
  <c r="I49" i="4"/>
  <c r="I57" i="4" s="1"/>
  <c r="N26" i="4"/>
  <c r="N28" i="4" s="1"/>
  <c r="G69" i="4"/>
  <c r="G70" i="4" s="1"/>
  <c r="G74" i="4" s="1"/>
  <c r="G90" i="4" s="1"/>
  <c r="G92" i="4" s="1"/>
  <c r="I5" i="4"/>
  <c r="H44" i="4"/>
  <c r="O7" i="4"/>
  <c r="N9" i="4"/>
  <c r="N16" i="4" s="1"/>
  <c r="N21" i="4" s="1"/>
  <c r="H67" i="4"/>
  <c r="I67" i="4"/>
  <c r="I48" i="3"/>
  <c r="I57" i="3" s="1"/>
  <c r="O6" i="3"/>
  <c r="O7" i="3"/>
  <c r="I67" i="3"/>
  <c r="I89" i="3"/>
  <c r="G44" i="3"/>
  <c r="N5" i="3"/>
  <c r="N9" i="3" s="1"/>
  <c r="N16" i="3" s="1"/>
  <c r="N21" i="3" s="1"/>
  <c r="H5" i="3"/>
  <c r="H44" i="3" s="1"/>
  <c r="N26" i="3"/>
  <c r="N28" i="3" s="1"/>
  <c r="G69" i="3"/>
  <c r="H67" i="3"/>
  <c r="H69" i="3" s="1"/>
  <c r="I3" i="3"/>
  <c r="G92" i="1"/>
  <c r="F1" i="1"/>
  <c r="L30" i="2"/>
  <c r="L26" i="2"/>
  <c r="L27" i="2"/>
  <c r="L28" i="2"/>
  <c r="L29" i="2"/>
  <c r="L25" i="2"/>
  <c r="B31" i="2"/>
  <c r="C31" i="2"/>
  <c r="D31" i="2"/>
  <c r="E31" i="2"/>
  <c r="F31" i="2"/>
  <c r="G31" i="2"/>
  <c r="H31" i="2"/>
  <c r="I31" i="2"/>
  <c r="J31" i="2"/>
  <c r="K31" i="2"/>
  <c r="L16" i="2"/>
  <c r="M16" i="2" s="1"/>
  <c r="K19" i="2"/>
  <c r="I69" i="4" l="1"/>
  <c r="O26" i="4"/>
  <c r="O28" i="4" s="1"/>
  <c r="N29" i="4"/>
  <c r="H70" i="4"/>
  <c r="H74" i="4" s="1"/>
  <c r="H90" i="4" s="1"/>
  <c r="I44" i="4"/>
  <c r="O5" i="4"/>
  <c r="O9" i="4" s="1"/>
  <c r="O16" i="4" s="1"/>
  <c r="O21" i="4" s="1"/>
  <c r="G70" i="3"/>
  <c r="G74" i="3" s="1"/>
  <c r="G90" i="3" s="1"/>
  <c r="G92" i="3" s="1"/>
  <c r="H70" i="3"/>
  <c r="H74" i="3" s="1"/>
  <c r="H90" i="3" s="1"/>
  <c r="I5" i="3"/>
  <c r="N29" i="3"/>
  <c r="I69" i="3"/>
  <c r="O26" i="3"/>
  <c r="O28" i="3" s="1"/>
  <c r="L31" i="2"/>
  <c r="G85" i="1"/>
  <c r="H84" i="1"/>
  <c r="I84" i="1" s="1"/>
  <c r="H69" i="1"/>
  <c r="I69" i="1" s="1"/>
  <c r="F2" i="1"/>
  <c r="E5" i="1"/>
  <c r="O29" i="4" l="1"/>
  <c r="I70" i="4"/>
  <c r="I74" i="4" s="1"/>
  <c r="I90" i="4" s="1"/>
  <c r="O5" i="3"/>
  <c r="O9" i="3" s="1"/>
  <c r="O16" i="3" s="1"/>
  <c r="O21" i="3" s="1"/>
  <c r="O29" i="3" s="1"/>
  <c r="I44" i="3"/>
  <c r="I70" i="3" s="1"/>
  <c r="I74" i="3" s="1"/>
  <c r="I90" i="3" s="1"/>
  <c r="E70" i="1" l="1"/>
  <c r="L4" i="2"/>
  <c r="L5" i="2"/>
  <c r="L6" i="2"/>
  <c r="L7" i="2"/>
  <c r="L8" i="2"/>
  <c r="L9" i="2"/>
  <c r="L10" i="2"/>
  <c r="L11" i="2"/>
  <c r="L12" i="2"/>
  <c r="L13" i="2"/>
  <c r="L14" i="2"/>
  <c r="L15" i="2"/>
  <c r="L17" i="2"/>
  <c r="M17" i="2" s="1"/>
  <c r="L3" i="2"/>
  <c r="C19" i="2"/>
  <c r="D19" i="2"/>
  <c r="E19" i="2"/>
  <c r="F19" i="2"/>
  <c r="G19" i="2"/>
  <c r="H19" i="2"/>
  <c r="I19" i="2"/>
  <c r="J19" i="2"/>
  <c r="B19" i="2"/>
  <c r="L19" i="2" l="1"/>
  <c r="E12" i="1"/>
  <c r="G37" i="1" l="1"/>
  <c r="H37" i="1" l="1"/>
  <c r="I37" i="1" s="1"/>
  <c r="G58" i="1"/>
  <c r="H58" i="1" l="1"/>
  <c r="I58" i="1" s="1"/>
  <c r="O19" i="2"/>
  <c r="G36" i="1" l="1"/>
  <c r="E13" i="1"/>
  <c r="H36" i="1" l="1"/>
  <c r="I36" i="1" s="1"/>
  <c r="G13" i="1"/>
  <c r="H13" i="1" l="1"/>
  <c r="I13" i="1" s="1"/>
  <c r="N18" i="1" l="1"/>
  <c r="N12" i="1"/>
  <c r="N14" i="1" l="1"/>
  <c r="G38" i="1"/>
  <c r="G35" i="1"/>
  <c r="H35" i="1" s="1"/>
  <c r="G34" i="1"/>
  <c r="H34" i="1" s="1"/>
  <c r="I34" i="1" s="1"/>
  <c r="I35" i="1" l="1"/>
  <c r="H38" i="1"/>
  <c r="I38" i="1" s="1"/>
  <c r="E22" i="1"/>
  <c r="E18" i="1"/>
  <c r="E15" i="1"/>
  <c r="E14" i="1"/>
  <c r="M27" i="2" l="1"/>
  <c r="G67" i="1"/>
  <c r="H67" i="1" s="1"/>
  <c r="I67" i="1" l="1"/>
  <c r="P31" i="2"/>
  <c r="Q27" i="2"/>
  <c r="G30" i="1" l="1"/>
  <c r="H30" i="1" s="1"/>
  <c r="I30" i="1" s="1"/>
  <c r="G40" i="1"/>
  <c r="E17" i="1"/>
  <c r="H40" i="1" l="1"/>
  <c r="I40" i="1" s="1"/>
  <c r="N27" i="1"/>
  <c r="G22" i="1" l="1"/>
  <c r="H22" i="1" l="1"/>
  <c r="I22" i="1" s="1"/>
  <c r="E23" i="1"/>
  <c r="E60" i="1" l="1"/>
  <c r="H59" i="1" l="1"/>
  <c r="I59" i="1" s="1"/>
  <c r="G68" i="1"/>
  <c r="H68" i="1" l="1"/>
  <c r="I68" i="1" s="1"/>
  <c r="M14" i="2"/>
  <c r="M15" i="2"/>
  <c r="P19" i="2"/>
  <c r="G31" i="1" l="1"/>
  <c r="H43" i="1" l="1"/>
  <c r="I43" i="1" s="1"/>
  <c r="H31" i="1"/>
  <c r="I31" i="1" s="1"/>
  <c r="G25" i="1" l="1"/>
  <c r="H25" i="1" l="1"/>
  <c r="I25" i="1" s="1"/>
  <c r="N4" i="2" l="1"/>
  <c r="N5" i="2"/>
  <c r="N6" i="2"/>
  <c r="N7" i="2"/>
  <c r="N8" i="2"/>
  <c r="N10" i="2"/>
  <c r="N11" i="2"/>
  <c r="N12" i="2"/>
  <c r="N13" i="2"/>
  <c r="N3" i="2"/>
  <c r="O31" i="2" l="1"/>
  <c r="O33" i="2" s="1"/>
  <c r="G44" i="1"/>
  <c r="N6" i="1" s="1"/>
  <c r="G28" i="1"/>
  <c r="E16" i="1"/>
  <c r="E47" i="1" l="1"/>
  <c r="M36" i="1"/>
  <c r="H44" i="1"/>
  <c r="I44" i="1" s="1"/>
  <c r="O6" i="1" s="1"/>
  <c r="H45" i="1"/>
  <c r="H28" i="1"/>
  <c r="I28" i="1" s="1"/>
  <c r="I45" i="1" l="1"/>
  <c r="H90" i="1" l="1"/>
  <c r="I90" i="1" s="1"/>
  <c r="O11" i="1" l="1"/>
  <c r="G6" i="1"/>
  <c r="H6" i="1" l="1"/>
  <c r="I6" i="1" s="1"/>
  <c r="H39" i="1" l="1"/>
  <c r="I39" i="1" s="1"/>
  <c r="G12" i="1"/>
  <c r="H12" i="1" l="1"/>
  <c r="I12" i="1" l="1"/>
  <c r="F3" i="1"/>
  <c r="I1" i="1" s="1"/>
  <c r="I2" i="1" l="1"/>
  <c r="I3" i="1" s="1"/>
  <c r="G14" i="1" l="1"/>
  <c r="G15" i="1"/>
  <c r="H14" i="1" l="1"/>
  <c r="I14" i="1" s="1"/>
  <c r="H15" i="1"/>
  <c r="I15" i="1" s="1"/>
  <c r="G7" i="1"/>
  <c r="H7" i="1" l="1"/>
  <c r="I7" i="1" s="1"/>
  <c r="G11" i="1"/>
  <c r="G10" i="1"/>
  <c r="G9" i="1"/>
  <c r="H9" i="1" s="1"/>
  <c r="I9" i="1" s="1"/>
  <c r="G8" i="1"/>
  <c r="H8" i="1" l="1"/>
  <c r="I8" i="1" s="1"/>
  <c r="H10" i="1"/>
  <c r="I10" i="1" s="1"/>
  <c r="H11" i="1"/>
  <c r="I11" i="1" s="1"/>
  <c r="N29" i="1" l="1"/>
  <c r="G16" i="1" l="1"/>
  <c r="G17" i="1"/>
  <c r="G18" i="1"/>
  <c r="G20" i="1"/>
  <c r="G23" i="1"/>
  <c r="G24" i="1"/>
  <c r="G26" i="1"/>
  <c r="G27" i="1"/>
  <c r="G29" i="1"/>
  <c r="G32" i="1"/>
  <c r="G41" i="1"/>
  <c r="G76" i="1"/>
  <c r="M43" i="1" l="1"/>
  <c r="N7" i="1"/>
  <c r="O8" i="1"/>
  <c r="N31" i="2"/>
  <c r="M29" i="2"/>
  <c r="M28" i="2"/>
  <c r="Q28" i="2" s="1"/>
  <c r="M26" i="2"/>
  <c r="Q26" i="2" s="1"/>
  <c r="M25" i="2"/>
  <c r="Q25" i="2" s="1"/>
  <c r="M13" i="2"/>
  <c r="Q13" i="2" s="1"/>
  <c r="M12" i="2"/>
  <c r="Q12" i="2" s="1"/>
  <c r="M10" i="2"/>
  <c r="Q10" i="2" s="1"/>
  <c r="M9" i="2"/>
  <c r="Q9" i="2" s="1"/>
  <c r="M7" i="2"/>
  <c r="Q7" i="2" s="1"/>
  <c r="M6" i="2"/>
  <c r="Q6" i="2" s="1"/>
  <c r="M5" i="2"/>
  <c r="Q5" i="2" s="1"/>
  <c r="M4" i="2"/>
  <c r="Q4" i="2" s="1"/>
  <c r="Q29" i="2" l="1"/>
  <c r="M31" i="2"/>
  <c r="Q31" i="2"/>
  <c r="M8" i="2"/>
  <c r="Q8" i="2" s="1"/>
  <c r="M11" i="2"/>
  <c r="M3" i="2"/>
  <c r="M19" i="2" l="1"/>
  <c r="Q11" i="2"/>
  <c r="M20" i="2"/>
  <c r="M33" i="2" s="1"/>
  <c r="Q3" i="2"/>
  <c r="Q19" i="2" l="1"/>
  <c r="H88" i="1"/>
  <c r="I88" i="1" s="1"/>
  <c r="M35" i="2" l="1"/>
  <c r="O18" i="1"/>
  <c r="G66" i="1"/>
  <c r="F72" i="1"/>
  <c r="H75" i="1" l="1"/>
  <c r="I75" i="1" s="1"/>
  <c r="O27" i="1" s="1"/>
  <c r="H66" i="1"/>
  <c r="I66" i="1" s="1"/>
  <c r="H29" i="1" l="1"/>
  <c r="H32" i="1"/>
  <c r="H27" i="1"/>
  <c r="H26" i="1"/>
  <c r="H24" i="1"/>
  <c r="H18" i="1"/>
  <c r="G5" i="1"/>
  <c r="H16" i="1"/>
  <c r="I16" i="1" s="1"/>
  <c r="H17" i="1"/>
  <c r="I17" i="1" s="1"/>
  <c r="H20" i="1"/>
  <c r="I20" i="1" s="1"/>
  <c r="H23" i="1"/>
  <c r="I23" i="1" s="1"/>
  <c r="G51" i="1"/>
  <c r="G52" i="1"/>
  <c r="H52" i="1" s="1"/>
  <c r="G53" i="1"/>
  <c r="H53" i="1" s="1"/>
  <c r="I53" i="1" s="1"/>
  <c r="G54" i="1"/>
  <c r="H54" i="1" s="1"/>
  <c r="I54" i="1" s="1"/>
  <c r="G55" i="1"/>
  <c r="H55" i="1" s="1"/>
  <c r="I55" i="1" s="1"/>
  <c r="G56" i="1"/>
  <c r="H56" i="1" s="1"/>
  <c r="I56" i="1" s="1"/>
  <c r="G57" i="1"/>
  <c r="G61" i="1"/>
  <c r="G62" i="1"/>
  <c r="H62" i="1" s="1"/>
  <c r="I62" i="1" s="1"/>
  <c r="G63" i="1"/>
  <c r="H63" i="1" s="1"/>
  <c r="I63" i="1" s="1"/>
  <c r="G64" i="1"/>
  <c r="H64" i="1" s="1"/>
  <c r="I64" i="1" s="1"/>
  <c r="G65" i="1"/>
  <c r="H65" i="1" s="1"/>
  <c r="I65" i="1" s="1"/>
  <c r="H74" i="1"/>
  <c r="H80" i="1"/>
  <c r="I80" i="1" s="1"/>
  <c r="O10" i="1" s="1"/>
  <c r="H83" i="1"/>
  <c r="H85" i="1" s="1"/>
  <c r="H89" i="1"/>
  <c r="G47" i="1" l="1"/>
  <c r="M47" i="1" s="1"/>
  <c r="N5" i="1"/>
  <c r="G70" i="1"/>
  <c r="G60" i="1"/>
  <c r="H57" i="1"/>
  <c r="I57" i="1" s="1"/>
  <c r="H51" i="1"/>
  <c r="I83" i="1"/>
  <c r="I89" i="1"/>
  <c r="H92" i="1"/>
  <c r="I74" i="1"/>
  <c r="H76" i="1"/>
  <c r="H61" i="1"/>
  <c r="H70" i="1" s="1"/>
  <c r="H5" i="1"/>
  <c r="H41" i="1"/>
  <c r="I41" i="1" s="1"/>
  <c r="I29" i="1"/>
  <c r="I27" i="1"/>
  <c r="I24" i="1"/>
  <c r="I26" i="1"/>
  <c r="I32" i="1"/>
  <c r="I18" i="1"/>
  <c r="I52" i="1"/>
  <c r="G72" i="1" l="1"/>
  <c r="G73" i="1" s="1"/>
  <c r="N28" i="1"/>
  <c r="O7" i="1"/>
  <c r="I85" i="1"/>
  <c r="O29" i="1" s="1"/>
  <c r="H60" i="1"/>
  <c r="H72" i="1" s="1"/>
  <c r="N30" i="1"/>
  <c r="H47" i="1"/>
  <c r="I5" i="1"/>
  <c r="I47" i="1" s="1"/>
  <c r="I51" i="1"/>
  <c r="I60" i="1" s="1"/>
  <c r="N9" i="1"/>
  <c r="N16" i="1" s="1"/>
  <c r="O12" i="1"/>
  <c r="O14" i="1" s="1"/>
  <c r="I92" i="1"/>
  <c r="I76" i="1"/>
  <c r="O26" i="1"/>
  <c r="I61" i="1"/>
  <c r="I70" i="1" s="1"/>
  <c r="O28" i="1" l="1"/>
  <c r="O30" i="1" s="1"/>
  <c r="I72" i="1"/>
  <c r="G77" i="1"/>
  <c r="G93" i="1" s="1"/>
  <c r="G95" i="1" s="1"/>
  <c r="H73" i="1"/>
  <c r="H77" i="1" s="1"/>
  <c r="H93" i="1" s="1"/>
  <c r="O5" i="1"/>
  <c r="O9" i="1" s="1"/>
  <c r="O16" i="1" l="1"/>
  <c r="O23" i="1" s="1"/>
  <c r="O31" i="1" s="1"/>
  <c r="N23" i="1"/>
  <c r="N31" i="1" s="1"/>
  <c r="I73" i="1"/>
  <c r="I77" i="1" s="1"/>
  <c r="I93" i="1" s="1"/>
  <c r="E72" i="1" l="1"/>
</calcChain>
</file>

<file path=xl/comments1.xml><?xml version="1.0" encoding="utf-8"?>
<comments xmlns="http://schemas.openxmlformats.org/spreadsheetml/2006/main">
  <authors>
    <author>Autore</author>
  </authors>
  <commentList>
    <comment ref="E24" authorId="0" shapeId="0">
      <text>
        <r>
          <rPr>
            <sz val="9"/>
            <color indexed="81"/>
            <rFont val="Tahoma"/>
            <family val="2"/>
          </rPr>
          <t xml:space="preserve">+1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-6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>-4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Autore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>orario spezzato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0" shapeId="0">
      <text>
        <r>
          <rPr>
            <sz val="7"/>
            <color indexed="81"/>
            <rFont val="Tahoma"/>
            <family val="2"/>
          </rPr>
          <t>collaborazione con docenti per attività e progetti con utilizzo PC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" authorId="0" shapeId="0">
      <text>
        <r>
          <rPr>
            <sz val="6"/>
            <color indexed="81"/>
            <rFont val="Tahoma"/>
            <family val="2"/>
          </rPr>
          <t xml:space="preserve">cure infanzia </t>
        </r>
      </text>
    </comment>
    <comment ref="O26" authorId="0" shapeId="0">
      <text>
        <r>
          <rPr>
            <sz val="8"/>
            <color indexed="81"/>
            <rFont val="Tahoma"/>
            <family val="2"/>
          </rPr>
          <t xml:space="preserve">inserimento passweb
</t>
        </r>
      </text>
    </comment>
    <comment ref="O27" authorId="0" shapeId="0">
      <text>
        <r>
          <rPr>
            <sz val="8"/>
            <color indexed="81"/>
            <rFont val="Tahoma"/>
            <family val="2"/>
          </rPr>
          <t xml:space="preserve">coordin. Registro elettronico docenti e genitori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<sst xmlns="http://schemas.openxmlformats.org/spreadsheetml/2006/main" count="1402" uniqueCount="201">
  <si>
    <t xml:space="preserve">DESCRIZIONE ATTIVITA' </t>
  </si>
  <si>
    <t>PERSONALE IMPIEGATO</t>
  </si>
  <si>
    <t xml:space="preserve">N. ORE </t>
  </si>
  <si>
    <t>COMP ORARIO</t>
  </si>
  <si>
    <t>TOTALE LORDO DIPENDENTE</t>
  </si>
  <si>
    <t>ONERI</t>
  </si>
  <si>
    <t>TOTALE LORDO STATO</t>
  </si>
  <si>
    <t>C.S.</t>
  </si>
  <si>
    <t>A.A.</t>
  </si>
  <si>
    <t>TOTALE</t>
  </si>
  <si>
    <t xml:space="preserve">TOTALE ATA </t>
  </si>
  <si>
    <t>tipo compenso</t>
  </si>
  <si>
    <t>forfait</t>
  </si>
  <si>
    <t xml:space="preserve">fino a </t>
  </si>
  <si>
    <t>docenti</t>
  </si>
  <si>
    <t>FUNZIONI STRUMENTALI</t>
  </si>
  <si>
    <t>ATA</t>
  </si>
  <si>
    <t>ASS.AMM.VI</t>
  </si>
  <si>
    <t>vari</t>
  </si>
  <si>
    <t xml:space="preserve">DSGA </t>
  </si>
  <si>
    <t>ORE SOSTITUZIONE COLLEGHI ASSENTI</t>
  </si>
  <si>
    <t>ORE AVVIAMENTO PRATICA SPORTIVA</t>
  </si>
  <si>
    <t>C.U.</t>
  </si>
  <si>
    <t>TOTALE ALTRI FINANZIAMENTI</t>
  </si>
  <si>
    <t>vario</t>
  </si>
  <si>
    <t>SUPPORTO AMM.VO PROVE INVALSI</t>
  </si>
  <si>
    <t>PARTE VARIABILE INDENNITA' AMMINISTRAZIONE DSGA</t>
  </si>
  <si>
    <t xml:space="preserve">INDENNITA' AMM.NE SOSTITUTO DSGA </t>
  </si>
  <si>
    <t>previsione</t>
  </si>
  <si>
    <t>SOSTITUZIONE COLLEGHI ASSENTI - SEDE (calcolo proporzionale al n. di sostituzioni effettuate)</t>
  </si>
  <si>
    <t>SOSTITUZIONE COLLEGHI ASSENTI - FUORI SEDE (calcolo proporzionale al n. di sostituzioni effettuate)</t>
  </si>
  <si>
    <t>pagamento</t>
  </si>
  <si>
    <t xml:space="preserve">ATA </t>
  </si>
  <si>
    <t xml:space="preserve">PERSONALE </t>
  </si>
  <si>
    <t>addetti</t>
  </si>
  <si>
    <t>compenso</t>
  </si>
  <si>
    <t>C. unitario</t>
  </si>
  <si>
    <t>RESPONSABILE DI AREA</t>
  </si>
  <si>
    <t>FLESSIBILITA' ORARIA</t>
  </si>
  <si>
    <t>sostituzioni colleghi sede</t>
  </si>
  <si>
    <t xml:space="preserve">sostituzioni colleghi fuori sede proporzionale </t>
  </si>
  <si>
    <t xml:space="preserve">piccola manutenzione collab. Sussidi sede </t>
  </si>
  <si>
    <t>piccola manutenz. Elettr. Aff. Software tutti plessi</t>
  </si>
  <si>
    <t>straordinario</t>
  </si>
  <si>
    <t>tot comp</t>
  </si>
  <si>
    <t>INC SPEC. SCUOLA</t>
  </si>
  <si>
    <t>INCARICO  SPEC PAGATO DPT</t>
  </si>
  <si>
    <t>totale gener</t>
  </si>
  <si>
    <t>BARAIOLO DINA SP TRAONA</t>
  </si>
  <si>
    <t>CODAZZI NANDA CHIARA SP MANTELLO</t>
  </si>
  <si>
    <t>QUAINI MILVA SSIG TRAONA</t>
  </si>
  <si>
    <t>SALVETTI ELEONORA SSIG TRAONA</t>
  </si>
  <si>
    <t>totale</t>
  </si>
  <si>
    <t>SUPP.PROVE INVALSI</t>
  </si>
  <si>
    <t>REF. REGISTRO ELETTRONICO</t>
  </si>
  <si>
    <t>STRAORDINARIO</t>
  </si>
  <si>
    <t>COMPENSO</t>
  </si>
  <si>
    <t>INCARICO SPEC</t>
  </si>
  <si>
    <t>TOT COMPENSII</t>
  </si>
  <si>
    <t>CROCE ANNAROSA</t>
  </si>
  <si>
    <t>GAGGINI GABRIELLA SSIG TRAONA</t>
  </si>
  <si>
    <t>Pubblicazine e referente SITO WEB</t>
  </si>
  <si>
    <t>REFERENTE PROGETTI</t>
  </si>
  <si>
    <t>SEGRETARI INTERCLASSE (2h)</t>
  </si>
  <si>
    <t>SEGRETARI INTERSEZIONE (2h)</t>
  </si>
  <si>
    <t xml:space="preserve">INCARICHI SPECIFICI </t>
  </si>
  <si>
    <t>DIPENDENTE</t>
  </si>
  <si>
    <t>STATO</t>
  </si>
  <si>
    <t xml:space="preserve">TOTALE </t>
  </si>
  <si>
    <t>APS</t>
  </si>
  <si>
    <t>ORE ECCEDENTI</t>
  </si>
  <si>
    <t>COLLABORATORI DS</t>
  </si>
  <si>
    <t>ATT. FUNZIONALI ALL'INS.</t>
  </si>
  <si>
    <t>ALTRE ATTIVITA' DELIBERATE</t>
  </si>
  <si>
    <t>budget FIS lordo dipendente</t>
  </si>
  <si>
    <t xml:space="preserve">totale da contrattare </t>
  </si>
  <si>
    <t xml:space="preserve">quota  docenti </t>
  </si>
  <si>
    <t xml:space="preserve">quota ATA </t>
  </si>
  <si>
    <t>TOTALE GENERALE  FIS + ALTRI FINANZIAMENTI</t>
  </si>
  <si>
    <t>SCARTO D'ARCHIVIO E CAMPIONATURA (1h)</t>
  </si>
  <si>
    <t xml:space="preserve">ind. direzione DSGA e sostituto </t>
  </si>
  <si>
    <t>ACQUISTAPACE MARINA</t>
  </si>
  <si>
    <t>COLL.SCOL.</t>
  </si>
  <si>
    <t>aree processo immigratorio</t>
  </si>
  <si>
    <t>DSGA</t>
  </si>
  <si>
    <t xml:space="preserve">SOSTITUTO DSGA </t>
  </si>
  <si>
    <t xml:space="preserve">TOTALE GENERALE </t>
  </si>
  <si>
    <t xml:space="preserve">COLLABORATORE DS </t>
  </si>
  <si>
    <t xml:space="preserve">COORDINATORE DI PLESSO SSIG </t>
  </si>
  <si>
    <t xml:space="preserve">COORDINATORE DI PLESSO SP Traona </t>
  </si>
  <si>
    <t xml:space="preserve">COORDINATORI DI PLESSO SP Mantello </t>
  </si>
  <si>
    <t xml:space="preserve">COORDINATORI DI PLESSO SP Mello </t>
  </si>
  <si>
    <t xml:space="preserve">COORDINATORI DI PLESSO SI Traona </t>
  </si>
  <si>
    <t xml:space="preserve">COORDINATORI DI PLESSO SI Mantello </t>
  </si>
  <si>
    <t>TOTALE DOCENTI considerando doppie le ore a 35,00)</t>
  </si>
  <si>
    <t>CARNA ORESTE SP Mello</t>
  </si>
  <si>
    <t>SANDRINI CARMELO SP TRAONA</t>
  </si>
  <si>
    <t xml:space="preserve">flessibilita' </t>
  </si>
  <si>
    <t>sorveglianza pre scuola - mensa SP Traona - Mantello</t>
  </si>
  <si>
    <t>SORVEGLIANZA PRE SCUOLA /ASSISTENZA MENSA tempo pieno</t>
  </si>
  <si>
    <t>PUBBLICAZIONE SITO WEB</t>
  </si>
  <si>
    <t>residuo a disposizione</t>
  </si>
  <si>
    <t>DELLA BAILA ANTONIA  p.t. 24/36</t>
  </si>
  <si>
    <t>VARI</t>
  </si>
  <si>
    <t xml:space="preserve">RESPONSABILI SUSSIDI/ BIBLIOTECA (4h) </t>
  </si>
  <si>
    <t>CORNAGGIA AMALIA</t>
  </si>
  <si>
    <t xml:space="preserve">progetto RECUPERO/POTENZIAMENTO SSIG </t>
  </si>
  <si>
    <t xml:space="preserve">servizio palestre/ mense </t>
  </si>
  <si>
    <t>scarto archivio - campionatura-distribuzione materiali</t>
  </si>
  <si>
    <t>totale Coll.scol.</t>
  </si>
  <si>
    <t>SERVIZIO PULIZIA PALESTRA / MENSA Primaria</t>
  </si>
  <si>
    <t xml:space="preserve">TOTALE IMPEGNATO DA FIS CONTRATTATO </t>
  </si>
  <si>
    <t xml:space="preserve">TOTALE IMPEGNATO DA FIS TOTALE </t>
  </si>
  <si>
    <t xml:space="preserve">ALTRI FINANZIAMENTI MIUR </t>
  </si>
  <si>
    <t xml:space="preserve">TOTALE ATA INCARICHI SPECIFICI </t>
  </si>
  <si>
    <t>RESPONSABILI TIC (5h Si Valletta - SI Mantello - SP Mello e 10h altri plessi)</t>
  </si>
  <si>
    <t>PICCOLA MANUTENZIONE - COLLABORAZIONE CON DOCENTE RESPONSABILE SUSSIDI-LABORATORI NEI SINGOLI PLESSI E SUPPORTO RIPRISTINO SOFTWARE PC - COLLABORAZIONE CON DIREZIONE</t>
  </si>
  <si>
    <t>CORSI RECUPERO</t>
  </si>
  <si>
    <t>RESPONSABILE DIPARTIMENTI (6h)</t>
  </si>
  <si>
    <t>REFERENTE DI ISTITUTO "ORIENTAMENTO" (10h)</t>
  </si>
  <si>
    <t>budget a disposizione</t>
  </si>
  <si>
    <t xml:space="preserve">pago in rete </t>
  </si>
  <si>
    <t xml:space="preserve">STATISTICHE - profilature </t>
  </si>
  <si>
    <t>REDAZIONE STATISTICHE VARIE -PROFILATURE DIPENDENTI</t>
  </si>
  <si>
    <t xml:space="preserve">GESTIONE AVVISI INSERIMENTO ALUNNI PAGO IN RETE </t>
  </si>
  <si>
    <t>PRESIDENTI INTERCLASSE (h4)</t>
  </si>
  <si>
    <t>PRESIDENTI INTERSEZIONE (h4)</t>
  </si>
  <si>
    <t>COORDINATORI DI CLASSE SCUOLA PRIMARIA (15h)</t>
  </si>
  <si>
    <t xml:space="preserve">RESPONSABILE PALESTRA (h10) </t>
  </si>
  <si>
    <t>3 funz.str.</t>
  </si>
  <si>
    <t xml:space="preserve">PROGETTI PRIMARIA </t>
  </si>
  <si>
    <t>PROGETTI SSIG</t>
  </si>
  <si>
    <t>RESPONSABILE ORARIO MEDIA (25h)</t>
  </si>
  <si>
    <t>CIOCCHINI CLAUDIA SI TRAONA 28/36</t>
  </si>
  <si>
    <t xml:space="preserve">proposta del </t>
  </si>
  <si>
    <t>COORDINATORI SSIG (23h)</t>
  </si>
  <si>
    <t>SEGRETARI  SSIG (2h)</t>
  </si>
  <si>
    <t>REFERENTE DI ISTITUTO "REGISTRO ELETTRONICO" (15h)</t>
  </si>
  <si>
    <t>REFERENTE DI ISTITUTO "PREVENZIONE BULLISMO-ED. CIVICA" (10h)</t>
  </si>
  <si>
    <t>PROGETTI INFANZIA inglese-Yoga</t>
  </si>
  <si>
    <t xml:space="preserve">progetto ALFABETIZZAZIONE PRIMARIA </t>
  </si>
  <si>
    <t>economie</t>
  </si>
  <si>
    <t>SCARAMELLA ANTONIA SI MANTELLO 24/36</t>
  </si>
  <si>
    <t>CANOVA DANIELA SA</t>
  </si>
  <si>
    <t>PORTA MARGHERITA SI TRAONA</t>
  </si>
  <si>
    <t xml:space="preserve">ORTOLANI DELLA NAVE MAURA </t>
  </si>
  <si>
    <t xml:space="preserve">INCARICHI FIS ATA PROPOSTA </t>
  </si>
  <si>
    <t>SCARAMELLA ANTONIA</t>
  </si>
  <si>
    <t xml:space="preserve">cure b.ni scuola infanzia supplenti </t>
  </si>
  <si>
    <t xml:space="preserve">assistenza e cure b.ni sc. Infanzia supplenti </t>
  </si>
  <si>
    <t>REFERENTE DI ISTITUTO COORDINATORE PEDAGOGICO (10h)</t>
  </si>
  <si>
    <t xml:space="preserve">INCONTRI AST </t>
  </si>
  <si>
    <t xml:space="preserve">AREE A FORTE PROCESSO IMMIGRATORIO </t>
  </si>
  <si>
    <t>AT</t>
  </si>
  <si>
    <t>SERVIZIO SU PIU'  PLESSI</t>
  </si>
  <si>
    <t>SERVIZIO SU PIU' PLESSI</t>
  </si>
  <si>
    <t>RESPONSABILITA' DI    AREA</t>
  </si>
  <si>
    <t xml:space="preserve"> RIPARTIZIONE  FIS A.S. 2023-2024</t>
  </si>
  <si>
    <t>FUNZIONI STRUMENTALI (integrare con FIS € 617,82)</t>
  </si>
  <si>
    <t>FUNZIONI STRUMENTALI PREVISTI 3600,00 integrazione  da FIS  € 617,82</t>
  </si>
  <si>
    <t xml:space="preserve">integrazione incarichi specifici </t>
  </si>
  <si>
    <t>LUCA ZITO</t>
  </si>
  <si>
    <t>INCARICHI SPECIFICI integrare con fis 1,200,00</t>
  </si>
  <si>
    <t>INCARICHI SPECIFICI integrare con fis 382,73</t>
  </si>
  <si>
    <t>PARUSCIO DEBORA SA 30/36</t>
  </si>
  <si>
    <t>PETRUZZI LUCIA SA</t>
  </si>
  <si>
    <t>PONCETTA FRANCESCA SA</t>
  </si>
  <si>
    <t>INCARICHI SPECIFICI - INTEGRAZIONE</t>
  </si>
  <si>
    <t>FONDO VALORIZZAZIONE MERITO PERSONALE AGGIUNTO AL FIS € 9,049,30</t>
  </si>
  <si>
    <t>accantonamento 5% = 1470,26per aumenti contrattuali+eventuali maggiori impegni € 3,312,38</t>
  </si>
  <si>
    <t>TUTOR DOCENTI ANNO PROVA (12h)</t>
  </si>
  <si>
    <t>COMMISSIONE ORIENTAMENTO -CONTINUITA'  Referente Carpanzano</t>
  </si>
  <si>
    <t>COMMISSIONE EDUCAZIONE CIVICA  referente  Barri Silvana</t>
  </si>
  <si>
    <t>COMMISSIONE PTOF/VALUT/CURRIC/NIV  ref FS: Paiosa R./De Pedrina/Rapella</t>
  </si>
  <si>
    <t xml:space="preserve">COMMISSIONE GLI   referente F.St. Duca Francesca / Togno Sara </t>
  </si>
  <si>
    <t>COMMISSIONE INCLUSIVITA'/DISAGIO   ref. F.St. Duca Fran./Togno Sara</t>
  </si>
  <si>
    <t xml:space="preserve">COMMISSIONE MULTIMEDIALITA'  referente FS Cadregari/Motta Paola </t>
  </si>
  <si>
    <t>TEAM ANTIBULLISMO E CYBERBULLISMO</t>
  </si>
  <si>
    <t xml:space="preserve">accantonamenti contrattuali </t>
  </si>
  <si>
    <t xml:space="preserve">accantonamento € 268 +  straordinario </t>
  </si>
  <si>
    <t xml:space="preserve"> SIMULAZIONE  FIS A.S. 2024-25</t>
  </si>
  <si>
    <t>accantonamento 5% per aumenti contrattuali = € 530 + eventuale lavoro straordinario € 273,26</t>
  </si>
  <si>
    <t xml:space="preserve">RESPONSABILI BIBLIOTECA (2h) </t>
  </si>
  <si>
    <t>RESPONSABILI SUSSIDI (2h)</t>
  </si>
  <si>
    <t>COORDINATORI DI SEZIONE SCUOLA INFANZIA (7h)</t>
  </si>
  <si>
    <r>
      <t>PROGETTI INFANZIA inglese-Yoga (</t>
    </r>
    <r>
      <rPr>
        <sz val="7"/>
        <color indexed="8"/>
        <rFont val="Calibri"/>
        <family val="2"/>
      </rPr>
      <t>vedasi prospetto dettagliato allegato</t>
    </r>
    <r>
      <rPr>
        <sz val="8"/>
        <color indexed="8"/>
        <rFont val="Calibri"/>
        <family val="2"/>
      </rPr>
      <t xml:space="preserve">) </t>
    </r>
  </si>
  <si>
    <t xml:space="preserve">PROGETTI PRIMARIA (vedasi prospetto dettagliato allegato) </t>
  </si>
  <si>
    <t xml:space="preserve">PROGETTI SSIG (vedasi prospetto dettagliato allegato) </t>
  </si>
  <si>
    <t xml:space="preserve">media ponderata calcolo orario compenso forfettario  </t>
  </si>
  <si>
    <t>comp.h</t>
  </si>
  <si>
    <t>mesi</t>
  </si>
  <si>
    <t>media ponderata</t>
  </si>
  <si>
    <t xml:space="preserve">PROGETTI di istituto (vedasi prospetto dettagliato allegato) </t>
  </si>
  <si>
    <t>RESPONSABILE ORARIO MEDIA (25h) + referenti orario H/Assistenti (1h x 17 classi)</t>
  </si>
  <si>
    <t>accantonamento 5% = 800,00 per aumenti contrattuali+eventuali maggiori impegni € 2.165,79</t>
  </si>
  <si>
    <t>CONSUNTIVO FIS A.S. 2023-2024</t>
  </si>
  <si>
    <t>RESP. ORARIO MEDIA (25h) + referenti orario H/Assistenti (1h x 17 classi)</t>
  </si>
  <si>
    <t>TUTOR DOCENTI ANNO PROVA (10h)</t>
  </si>
  <si>
    <t xml:space="preserve">differenza </t>
  </si>
  <si>
    <t>differenza</t>
  </si>
  <si>
    <t>inserito nella voce alfabetizzaz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</si>
</sst>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_-* #,##0_-;\-* #,##0_-;_-* &quot;-&quot;??_-;_-@_-"/>
  </numFmts>
  <fonts count="3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name val="Arial"/>
      <family val="2"/>
    </font>
    <font>
      <b/>
      <sz val="7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name val="Arial"/>
      <family val="2"/>
    </font>
    <font>
      <sz val="7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6"/>
      <name val="Arial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6"/>
      <color indexed="8"/>
      <name val="Calibri"/>
      <family val="2"/>
    </font>
    <font>
      <b/>
      <sz val="6"/>
      <color indexed="8"/>
      <name val="Calibri"/>
      <family val="2"/>
    </font>
    <font>
      <i/>
      <sz val="10"/>
      <name val="Calibri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sz val="10"/>
      <color theme="1"/>
      <name val="Calibri"/>
      <family val="2"/>
    </font>
    <font>
      <sz val="6"/>
      <color indexed="81"/>
      <name val="Tahoma"/>
      <family val="2"/>
    </font>
    <font>
      <sz val="7"/>
      <color indexed="81"/>
      <name val="Tahoma"/>
      <family val="2"/>
    </font>
    <font>
      <sz val="10"/>
      <color rgb="FFC0000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CCCC00"/>
      <name val="Calibri"/>
      <family val="2"/>
    </font>
    <font>
      <b/>
      <sz val="11"/>
      <color theme="3" tint="0.79998168889431442"/>
      <name val="Calibri"/>
      <family val="2"/>
    </font>
    <font>
      <sz val="10"/>
      <color theme="4" tint="0.79998168889431442"/>
      <name val="Calibri"/>
      <family val="2"/>
    </font>
    <font>
      <sz val="8"/>
      <color theme="0"/>
      <name val="Calibri"/>
      <family val="2"/>
    </font>
    <font>
      <i/>
      <sz val="10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</font>
    <font>
      <sz val="7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10" fillId="0" borderId="0" applyFont="0" applyFill="0" applyBorder="0" applyAlignment="0" applyProtection="0"/>
  </cellStyleXfs>
  <cellXfs count="3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1" fillId="3" borderId="0" xfId="0" applyFont="1" applyFill="1"/>
    <xf numFmtId="0" fontId="1" fillId="3" borderId="0" xfId="0" applyFont="1" applyFill="1" applyBorder="1"/>
    <xf numFmtId="0" fontId="1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2" fontId="1" fillId="0" borderId="0" xfId="0" applyNumberFormat="1" applyFont="1"/>
    <xf numFmtId="1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5" fillId="0" borderId="0" xfId="0" applyFont="1"/>
    <xf numFmtId="0" fontId="6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65" fontId="11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/>
    <xf numFmtId="0" fontId="12" fillId="0" borderId="1" xfId="0" applyFont="1" applyBorder="1" applyAlignment="1">
      <alignment wrapText="1"/>
    </xf>
    <xf numFmtId="165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0" fontId="3" fillId="5" borderId="1" xfId="0" applyFont="1" applyFill="1" applyBorder="1"/>
    <xf numFmtId="2" fontId="7" fillId="6" borderId="1" xfId="0" applyNumberFormat="1" applyFont="1" applyFill="1" applyBorder="1"/>
    <xf numFmtId="164" fontId="7" fillId="0" borderId="1" xfId="0" applyNumberFormat="1" applyFont="1" applyBorder="1"/>
    <xf numFmtId="0" fontId="12" fillId="0" borderId="1" xfId="0" applyFont="1" applyFill="1" applyBorder="1"/>
    <xf numFmtId="0" fontId="7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center" wrapText="1"/>
    </xf>
    <xf numFmtId="165" fontId="9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 applyAlignment="1">
      <alignment wrapText="1"/>
    </xf>
    <xf numFmtId="0" fontId="9" fillId="0" borderId="1" xfId="0" applyFont="1" applyBorder="1"/>
    <xf numFmtId="2" fontId="7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1" fillId="0" borderId="4" xfId="0" applyFont="1" applyBorder="1"/>
    <xf numFmtId="0" fontId="1" fillId="0" borderId="12" xfId="0" applyFont="1" applyBorder="1"/>
    <xf numFmtId="0" fontId="1" fillId="0" borderId="18" xfId="0" applyFont="1" applyBorder="1"/>
    <xf numFmtId="2" fontId="2" fillId="4" borderId="11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" fillId="6" borderId="1" xfId="0" applyFont="1" applyFill="1" applyBorder="1"/>
    <xf numFmtId="2" fontId="1" fillId="6" borderId="1" xfId="0" applyNumberFormat="1" applyFont="1" applyFill="1" applyBorder="1" applyAlignment="1">
      <alignment horizontal="right"/>
    </xf>
    <xf numFmtId="0" fontId="1" fillId="7" borderId="0" xfId="0" applyFont="1" applyFill="1" applyAlignment="1">
      <alignment horizontal="right"/>
    </xf>
    <xf numFmtId="0" fontId="5" fillId="5" borderId="1" xfId="0" applyFont="1" applyFill="1" applyBorder="1" applyAlignment="1">
      <alignment wrapText="1"/>
    </xf>
    <xf numFmtId="2" fontId="1" fillId="5" borderId="1" xfId="0" applyNumberFormat="1" applyFont="1" applyFill="1" applyBorder="1" applyAlignment="1">
      <alignment horizontal="right" wrapText="1"/>
    </xf>
    <xf numFmtId="0" fontId="1" fillId="4" borderId="1" xfId="0" applyFont="1" applyFill="1" applyBorder="1"/>
    <xf numFmtId="166" fontId="1" fillId="0" borderId="1" xfId="1" applyFont="1" applyBorder="1" applyAlignment="1">
      <alignment horizontal="right"/>
    </xf>
    <xf numFmtId="2" fontId="1" fillId="6" borderId="1" xfId="0" applyNumberFormat="1" applyFont="1" applyFill="1" applyBorder="1" applyAlignment="1">
      <alignment horizontal="right" wrapText="1"/>
    </xf>
    <xf numFmtId="166" fontId="1" fillId="5" borderId="1" xfId="1" applyFont="1" applyFill="1" applyBorder="1" applyAlignment="1">
      <alignment horizontal="right"/>
    </xf>
    <xf numFmtId="0" fontId="1" fillId="0" borderId="5" xfId="0" applyFont="1" applyBorder="1" applyAlignment="1">
      <alignment horizontal="left"/>
    </xf>
    <xf numFmtId="9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3" xfId="0" applyFont="1" applyBorder="1"/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/>
    <xf numFmtId="0" fontId="1" fillId="0" borderId="21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5" fillId="5" borderId="1" xfId="0" applyFont="1" applyFill="1" applyBorder="1" applyAlignment="1">
      <alignment horizontal="center"/>
    </xf>
    <xf numFmtId="0" fontId="1" fillId="0" borderId="24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/>
    <xf numFmtId="2" fontId="1" fillId="0" borderId="25" xfId="0" applyNumberFormat="1" applyFont="1" applyBorder="1" applyAlignment="1">
      <alignment horizontal="right"/>
    </xf>
    <xf numFmtId="0" fontId="1" fillId="0" borderId="16" xfId="0" applyFont="1" applyBorder="1"/>
    <xf numFmtId="0" fontId="1" fillId="0" borderId="13" xfId="0" applyFont="1" applyBorder="1"/>
    <xf numFmtId="0" fontId="2" fillId="2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right"/>
    </xf>
    <xf numFmtId="0" fontId="5" fillId="0" borderId="28" xfId="0" applyFont="1" applyBorder="1"/>
    <xf numFmtId="0" fontId="6" fillId="0" borderId="29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6" fillId="0" borderId="29" xfId="0" applyFont="1" applyBorder="1" applyAlignment="1">
      <alignment horizontal="right" wrapText="1"/>
    </xf>
    <xf numFmtId="0" fontId="5" fillId="0" borderId="30" xfId="0" applyFont="1" applyBorder="1"/>
    <xf numFmtId="0" fontId="1" fillId="0" borderId="31" xfId="0" applyFont="1" applyBorder="1"/>
    <xf numFmtId="0" fontId="5" fillId="0" borderId="14" xfId="0" applyFont="1" applyBorder="1" applyAlignment="1">
      <alignment wrapText="1"/>
    </xf>
    <xf numFmtId="0" fontId="1" fillId="0" borderId="27" xfId="0" applyFont="1" applyBorder="1"/>
    <xf numFmtId="0" fontId="5" fillId="0" borderId="19" xfId="0" applyFont="1" applyBorder="1" applyAlignment="1">
      <alignment wrapText="1"/>
    </xf>
    <xf numFmtId="0" fontId="1" fillId="0" borderId="19" xfId="0" applyFont="1" applyBorder="1" applyAlignment="1">
      <alignment horizontal="right"/>
    </xf>
    <xf numFmtId="0" fontId="8" fillId="0" borderId="9" xfId="0" applyFont="1" applyBorder="1" applyAlignment="1">
      <alignment wrapText="1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1" fillId="0" borderId="30" xfId="0" applyFont="1" applyBorder="1"/>
    <xf numFmtId="0" fontId="4" fillId="0" borderId="33" xfId="0" applyFont="1" applyBorder="1"/>
    <xf numFmtId="0" fontId="1" fillId="0" borderId="17" xfId="0" applyFont="1" applyBorder="1" applyAlignment="1">
      <alignment wrapText="1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/>
    <xf numFmtId="0" fontId="1" fillId="0" borderId="34" xfId="0" applyFont="1" applyBorder="1"/>
    <xf numFmtId="0" fontId="7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0" borderId="35" xfId="0" applyFont="1" applyBorder="1"/>
    <xf numFmtId="0" fontId="1" fillId="0" borderId="26" xfId="0" applyFont="1" applyBorder="1"/>
    <xf numFmtId="0" fontId="1" fillId="0" borderId="17" xfId="0" applyFont="1" applyBorder="1"/>
    <xf numFmtId="0" fontId="1" fillId="0" borderId="9" xfId="0" applyFont="1" applyBorder="1"/>
    <xf numFmtId="0" fontId="5" fillId="0" borderId="0" xfId="0" applyFont="1" applyBorder="1" applyAlignment="1">
      <alignment wrapText="1"/>
    </xf>
    <xf numFmtId="0" fontId="1" fillId="0" borderId="28" xfId="0" applyFont="1" applyBorder="1"/>
    <xf numFmtId="0" fontId="6" fillId="0" borderId="25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5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right" wrapText="1"/>
    </xf>
    <xf numFmtId="0" fontId="17" fillId="0" borderId="5" xfId="0" applyFont="1" applyBorder="1" applyAlignment="1">
      <alignment wrapText="1"/>
    </xf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 wrapText="1"/>
    </xf>
    <xf numFmtId="0" fontId="3" fillId="0" borderId="29" xfId="0" applyFont="1" applyBorder="1" applyAlignment="1">
      <alignment horizontal="left" wrapText="1"/>
    </xf>
    <xf numFmtId="0" fontId="8" fillId="0" borderId="16" xfId="0" applyFont="1" applyBorder="1"/>
    <xf numFmtId="0" fontId="8" fillId="0" borderId="18" xfId="0" applyFont="1" applyBorder="1"/>
    <xf numFmtId="2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wrapText="1"/>
    </xf>
    <xf numFmtId="166" fontId="14" fillId="10" borderId="1" xfId="1" applyFont="1" applyFill="1" applyBorder="1" applyAlignment="1">
      <alignment horizontal="right"/>
    </xf>
    <xf numFmtId="166" fontId="1" fillId="10" borderId="5" xfId="0" applyNumberFormat="1" applyFont="1" applyFill="1" applyBorder="1" applyAlignment="1">
      <alignment wrapText="1"/>
    </xf>
    <xf numFmtId="2" fontId="1" fillId="11" borderId="1" xfId="0" applyNumberFormat="1" applyFont="1" applyFill="1" applyBorder="1" applyAlignment="1">
      <alignment horizontal="right" wrapText="1"/>
    </xf>
    <xf numFmtId="0" fontId="2" fillId="12" borderId="1" xfId="0" applyFont="1" applyFill="1" applyBorder="1"/>
    <xf numFmtId="166" fontId="2" fillId="12" borderId="1" xfId="0" applyNumberFormat="1" applyFont="1" applyFill="1" applyBorder="1" applyAlignment="1">
      <alignment horizontal="right"/>
    </xf>
    <xf numFmtId="166" fontId="1" fillId="7" borderId="0" xfId="1" applyFont="1" applyFill="1" applyAlignment="1">
      <alignment horizontal="right"/>
    </xf>
    <xf numFmtId="166" fontId="1" fillId="7" borderId="0" xfId="1" applyFont="1" applyFill="1" applyAlignment="1">
      <alignment horizontal="center"/>
    </xf>
    <xf numFmtId="2" fontId="1" fillId="0" borderId="1" xfId="0" applyNumberFormat="1" applyFont="1" applyBorder="1"/>
    <xf numFmtId="166" fontId="2" fillId="0" borderId="1" xfId="1" applyFont="1" applyBorder="1"/>
    <xf numFmtId="166" fontId="1" fillId="0" borderId="0" xfId="0" applyNumberFormat="1" applyFont="1"/>
    <xf numFmtId="2" fontId="15" fillId="0" borderId="1" xfId="0" applyNumberFormat="1" applyFont="1" applyBorder="1" applyAlignment="1">
      <alignment horizontal="center" wrapText="1"/>
    </xf>
    <xf numFmtId="164" fontId="7" fillId="0" borderId="0" xfId="0" applyNumberFormat="1" applyFont="1"/>
    <xf numFmtId="2" fontId="2" fillId="5" borderId="1" xfId="0" applyNumberFormat="1" applyFont="1" applyFill="1" applyBorder="1" applyAlignment="1">
      <alignment horizontal="center" wrapText="1"/>
    </xf>
    <xf numFmtId="0" fontId="2" fillId="13" borderId="1" xfId="0" applyFont="1" applyFill="1" applyBorder="1"/>
    <xf numFmtId="166" fontId="2" fillId="13" borderId="1" xfId="0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15" fillId="14" borderId="1" xfId="0" applyFont="1" applyFill="1" applyBorder="1" applyAlignment="1">
      <alignment horizontal="center" wrapText="1"/>
    </xf>
    <xf numFmtId="0" fontId="18" fillId="14" borderId="1" xfId="0" applyFont="1" applyFill="1" applyBorder="1" applyAlignment="1">
      <alignment horizontal="center" wrapText="1"/>
    </xf>
    <xf numFmtId="0" fontId="15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166" fontId="7" fillId="0" borderId="0" xfId="1" applyFont="1"/>
    <xf numFmtId="0" fontId="3" fillId="0" borderId="4" xfId="0" applyFont="1" applyBorder="1" applyAlignment="1">
      <alignment horizontal="left" wrapText="1"/>
    </xf>
    <xf numFmtId="0" fontId="2" fillId="15" borderId="10" xfId="0" applyFont="1" applyFill="1" applyBorder="1" applyAlignment="1">
      <alignment horizontal="center"/>
    </xf>
    <xf numFmtId="0" fontId="1" fillId="15" borderId="0" xfId="0" applyFont="1" applyFill="1" applyBorder="1" applyAlignment="1"/>
    <xf numFmtId="0" fontId="2" fillId="15" borderId="10" xfId="0" applyFont="1" applyFill="1" applyBorder="1" applyAlignment="1">
      <alignment horizontal="right"/>
    </xf>
    <xf numFmtId="0" fontId="1" fillId="0" borderId="8" xfId="0" applyFont="1" applyBorder="1" applyAlignment="1">
      <alignment wrapText="1"/>
    </xf>
    <xf numFmtId="0" fontId="5" fillId="15" borderId="0" xfId="0" applyFont="1" applyFill="1" applyBorder="1" applyAlignment="1">
      <alignment wrapText="1"/>
    </xf>
    <xf numFmtId="0" fontId="1" fillId="15" borderId="0" xfId="0" applyFont="1" applyFill="1" applyAlignment="1">
      <alignment horizontal="center"/>
    </xf>
    <xf numFmtId="166" fontId="14" fillId="15" borderId="10" xfId="1" applyFont="1" applyFill="1" applyBorder="1" applyAlignment="1">
      <alignment horizontal="right"/>
    </xf>
    <xf numFmtId="0" fontId="2" fillId="0" borderId="28" xfId="0" applyFont="1" applyBorder="1"/>
    <xf numFmtId="0" fontId="5" fillId="16" borderId="0" xfId="0" applyFont="1" applyFill="1"/>
    <xf numFmtId="0" fontId="17" fillId="5" borderId="5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wrapText="1"/>
    </xf>
    <xf numFmtId="0" fontId="2" fillId="17" borderId="11" xfId="0" applyFont="1" applyFill="1" applyBorder="1" applyAlignment="1">
      <alignment horizontal="center"/>
    </xf>
    <xf numFmtId="0" fontId="1" fillId="17" borderId="14" xfId="0" applyFont="1" applyFill="1" applyBorder="1" applyAlignment="1"/>
    <xf numFmtId="166" fontId="2" fillId="17" borderId="11" xfId="1" applyFont="1" applyFill="1" applyBorder="1" applyAlignment="1">
      <alignment horizontal="right"/>
    </xf>
    <xf numFmtId="0" fontId="2" fillId="18" borderId="11" xfId="0" applyFont="1" applyFill="1" applyBorder="1" applyAlignment="1">
      <alignment horizontal="center"/>
    </xf>
    <xf numFmtId="166" fontId="2" fillId="18" borderId="11" xfId="1" applyFont="1" applyFill="1" applyBorder="1" applyAlignment="1">
      <alignment horizontal="center"/>
    </xf>
    <xf numFmtId="0" fontId="1" fillId="0" borderId="15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right" wrapText="1"/>
    </xf>
    <xf numFmtId="0" fontId="2" fillId="15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6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6" fontId="2" fillId="6" borderId="1" xfId="1" applyFont="1" applyFill="1" applyBorder="1" applyAlignment="1">
      <alignment horizontal="right"/>
    </xf>
    <xf numFmtId="0" fontId="1" fillId="14" borderId="2" xfId="0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 wrapText="1"/>
    </xf>
    <xf numFmtId="2" fontId="1" fillId="9" borderId="2" xfId="0" applyNumberFormat="1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/>
    </xf>
    <xf numFmtId="0" fontId="1" fillId="15" borderId="1" xfId="0" applyFont="1" applyFill="1" applyBorder="1" applyAlignment="1"/>
    <xf numFmtId="166" fontId="14" fillId="15" borderId="1" xfId="1" applyFont="1" applyFill="1" applyBorder="1" applyAlignment="1">
      <alignment horizontal="center"/>
    </xf>
    <xf numFmtId="166" fontId="14" fillId="15" borderId="1" xfId="1" applyFont="1" applyFill="1" applyBorder="1" applyAlignment="1">
      <alignment horizontal="right"/>
    </xf>
    <xf numFmtId="166" fontId="14" fillId="3" borderId="0" xfId="1" applyFont="1" applyFill="1" applyBorder="1" applyAlignment="1">
      <alignment horizontal="center"/>
    </xf>
    <xf numFmtId="166" fontId="14" fillId="3" borderId="0" xfId="1" applyFont="1" applyFill="1" applyBorder="1" applyAlignment="1">
      <alignment horizontal="right"/>
    </xf>
    <xf numFmtId="167" fontId="14" fillId="15" borderId="1" xfId="1" applyNumberFormat="1" applyFont="1" applyFill="1" applyBorder="1" applyAlignment="1">
      <alignment horizontal="center"/>
    </xf>
    <xf numFmtId="0" fontId="11" fillId="15" borderId="1" xfId="0" applyFont="1" applyFill="1" applyBorder="1" applyAlignment="1">
      <alignment wrapText="1"/>
    </xf>
    <xf numFmtId="0" fontId="5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left"/>
    </xf>
    <xf numFmtId="0" fontId="1" fillId="15" borderId="1" xfId="0" applyFont="1" applyFill="1" applyBorder="1" applyAlignment="1">
      <alignment horizontal="center"/>
    </xf>
    <xf numFmtId="2" fontId="1" fillId="15" borderId="1" xfId="0" applyNumberFormat="1" applyFont="1" applyFill="1" applyBorder="1" applyAlignment="1">
      <alignment horizontal="right"/>
    </xf>
    <xf numFmtId="2" fontId="1" fillId="15" borderId="17" xfId="0" applyNumberFormat="1" applyFont="1" applyFill="1" applyBorder="1" applyAlignment="1">
      <alignment horizontal="right"/>
    </xf>
    <xf numFmtId="0" fontId="1" fillId="15" borderId="11" xfId="0" applyFont="1" applyFill="1" applyBorder="1" applyAlignment="1">
      <alignment horizontal="center"/>
    </xf>
    <xf numFmtId="0" fontId="1" fillId="15" borderId="11" xfId="0" applyFont="1" applyFill="1" applyBorder="1" applyAlignment="1"/>
    <xf numFmtId="2" fontId="2" fillId="15" borderId="11" xfId="0" applyNumberFormat="1" applyFont="1" applyFill="1" applyBorder="1" applyAlignment="1">
      <alignment horizontal="right"/>
    </xf>
    <xf numFmtId="0" fontId="4" fillId="15" borderId="11" xfId="0" applyFont="1" applyFill="1" applyBorder="1" applyAlignment="1">
      <alignment wrapText="1"/>
    </xf>
    <xf numFmtId="0" fontId="1" fillId="0" borderId="36" xfId="0" applyFont="1" applyBorder="1"/>
    <xf numFmtId="0" fontId="1" fillId="5" borderId="36" xfId="0" applyFont="1" applyFill="1" applyBorder="1"/>
    <xf numFmtId="0" fontId="9" fillId="5" borderId="29" xfId="0" applyFont="1" applyFill="1" applyBorder="1" applyAlignment="1">
      <alignment wrapText="1"/>
    </xf>
    <xf numFmtId="0" fontId="1" fillId="5" borderId="29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center"/>
    </xf>
    <xf numFmtId="2" fontId="2" fillId="5" borderId="29" xfId="0" applyNumberFormat="1" applyFont="1" applyFill="1" applyBorder="1" applyAlignment="1">
      <alignment horizontal="right"/>
    </xf>
    <xf numFmtId="2" fontId="2" fillId="5" borderId="37" xfId="0" applyNumberFormat="1" applyFont="1" applyFill="1" applyBorder="1" applyAlignment="1">
      <alignment horizontal="right"/>
    </xf>
    <xf numFmtId="0" fontId="1" fillId="5" borderId="31" xfId="0" applyFont="1" applyFill="1" applyBorder="1"/>
    <xf numFmtId="0" fontId="1" fillId="5" borderId="1" xfId="0" applyFont="1" applyFill="1" applyBorder="1"/>
    <xf numFmtId="166" fontId="1" fillId="5" borderId="0" xfId="0" applyNumberFormat="1" applyFont="1" applyFill="1"/>
    <xf numFmtId="2" fontId="1" fillId="9" borderId="2" xfId="0" applyNumberFormat="1" applyFont="1" applyFill="1" applyBorder="1" applyAlignment="1">
      <alignment horizontal="left" wrapText="1"/>
    </xf>
    <xf numFmtId="2" fontId="2" fillId="9" borderId="2" xfId="0" applyNumberFormat="1" applyFont="1" applyFill="1" applyBorder="1" applyAlignment="1">
      <alignment horizontal="left" wrapText="1"/>
    </xf>
    <xf numFmtId="0" fontId="2" fillId="5" borderId="1" xfId="0" applyFont="1" applyFill="1" applyBorder="1"/>
    <xf numFmtId="2" fontId="2" fillId="5" borderId="1" xfId="0" applyNumberFormat="1" applyFont="1" applyFill="1" applyBorder="1" applyAlignment="1">
      <alignment horizontal="right"/>
    </xf>
    <xf numFmtId="0" fontId="2" fillId="8" borderId="1" xfId="0" applyFont="1" applyFill="1" applyBorder="1"/>
    <xf numFmtId="166" fontId="2" fillId="8" borderId="1" xfId="1" applyFont="1" applyFill="1" applyBorder="1" applyAlignment="1">
      <alignment horizontal="right"/>
    </xf>
    <xf numFmtId="2" fontId="2" fillId="8" borderId="1" xfId="0" applyNumberFormat="1" applyFont="1" applyFill="1" applyBorder="1" applyAlignment="1">
      <alignment horizontal="right"/>
    </xf>
    <xf numFmtId="0" fontId="17" fillId="5" borderId="0" xfId="0" applyFont="1" applyFill="1" applyBorder="1" applyAlignment="1">
      <alignment wrapText="1"/>
    </xf>
    <xf numFmtId="0" fontId="1" fillId="5" borderId="0" xfId="0" applyFont="1" applyFill="1" applyBorder="1"/>
    <xf numFmtId="0" fontId="1" fillId="5" borderId="0" xfId="0" applyFont="1" applyFill="1"/>
    <xf numFmtId="0" fontId="4" fillId="5" borderId="0" xfId="0" applyFont="1" applyFill="1" applyBorder="1" applyAlignment="1">
      <alignment wrapText="1"/>
    </xf>
    <xf numFmtId="43" fontId="1" fillId="0" borderId="0" xfId="0" applyNumberFormat="1" applyFont="1" applyBorder="1" applyAlignment="1">
      <alignment wrapText="1"/>
    </xf>
    <xf numFmtId="166" fontId="24" fillId="0" borderId="1" xfId="1" applyFont="1" applyBorder="1" applyAlignment="1">
      <alignment horizontal="right"/>
    </xf>
    <xf numFmtId="0" fontId="2" fillId="13" borderId="0" xfId="0" applyFont="1" applyFill="1" applyBorder="1"/>
    <xf numFmtId="166" fontId="2" fillId="13" borderId="0" xfId="0" applyNumberFormat="1" applyFont="1" applyFill="1" applyBorder="1"/>
    <xf numFmtId="0" fontId="5" fillId="4" borderId="2" xfId="0" applyFont="1" applyFill="1" applyBorder="1" applyAlignment="1">
      <alignment wrapText="1"/>
    </xf>
    <xf numFmtId="2" fontId="7" fillId="0" borderId="38" xfId="0" applyNumberFormat="1" applyFont="1" applyBorder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2" fontId="1" fillId="4" borderId="2" xfId="0" applyNumberFormat="1" applyFont="1" applyFill="1" applyBorder="1" applyAlignment="1">
      <alignment horizontal="right" wrapText="1"/>
    </xf>
    <xf numFmtId="0" fontId="5" fillId="16" borderId="0" xfId="0" applyFont="1" applyFill="1" applyBorder="1" applyAlignment="1">
      <alignment wrapText="1"/>
    </xf>
    <xf numFmtId="0" fontId="1" fillId="16" borderId="0" xfId="0" applyFont="1" applyFill="1" applyAlignment="1">
      <alignment horizontal="center"/>
    </xf>
    <xf numFmtId="0" fontId="23" fillId="16" borderId="0" xfId="0" applyFont="1" applyFill="1" applyBorder="1" applyAlignment="1"/>
    <xf numFmtId="0" fontId="2" fillId="16" borderId="10" xfId="0" applyFont="1" applyFill="1" applyBorder="1" applyAlignment="1">
      <alignment horizontal="center"/>
    </xf>
    <xf numFmtId="0" fontId="21" fillId="16" borderId="10" xfId="0" applyFont="1" applyFill="1" applyBorder="1" applyAlignment="1">
      <alignment horizontal="right"/>
    </xf>
    <xf numFmtId="166" fontId="14" fillId="16" borderId="10" xfId="1" applyFont="1" applyFill="1" applyBorder="1" applyAlignment="1">
      <alignment horizontal="right"/>
    </xf>
    <xf numFmtId="166" fontId="14" fillId="19" borderId="32" xfId="1" applyFont="1" applyFill="1" applyBorder="1" applyAlignment="1">
      <alignment horizontal="right"/>
    </xf>
    <xf numFmtId="0" fontId="1" fillId="4" borderId="0" xfId="0" applyFont="1" applyFill="1" applyAlignment="1">
      <alignment wrapText="1"/>
    </xf>
    <xf numFmtId="0" fontId="5" fillId="20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43" fontId="1" fillId="0" borderId="0" xfId="0" applyNumberFormat="1" applyFont="1" applyAlignment="1">
      <alignment horizontal="right"/>
    </xf>
    <xf numFmtId="0" fontId="1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43" fontId="1" fillId="0" borderId="0" xfId="0" applyNumberFormat="1" applyFont="1"/>
    <xf numFmtId="0" fontId="2" fillId="18" borderId="1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2" fillId="18" borderId="11" xfId="0" applyFont="1" applyFill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1" fillId="21" borderId="0" xfId="0" applyNumberFormat="1" applyFont="1" applyFill="1" applyAlignment="1">
      <alignment horizontal="right"/>
    </xf>
    <xf numFmtId="0" fontId="1" fillId="6" borderId="0" xfId="0" applyFont="1" applyFill="1" applyBorder="1"/>
    <xf numFmtId="2" fontId="1" fillId="6" borderId="0" xfId="0" applyNumberFormat="1" applyFont="1" applyFill="1" applyBorder="1" applyAlignment="1">
      <alignment horizontal="right"/>
    </xf>
    <xf numFmtId="166" fontId="1" fillId="0" borderId="0" xfId="0" applyNumberFormat="1" applyFont="1" applyAlignment="1">
      <alignment horizontal="center"/>
    </xf>
    <xf numFmtId="166" fontId="1" fillId="0" borderId="38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43" fontId="1" fillId="0" borderId="38" xfId="0" applyNumberFormat="1" applyFont="1" applyBorder="1"/>
    <xf numFmtId="2" fontId="27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/>
    <xf numFmtId="0" fontId="2" fillId="18" borderId="2" xfId="0" applyFont="1" applyFill="1" applyBorder="1" applyAlignment="1">
      <alignment horizontal="center"/>
    </xf>
    <xf numFmtId="2" fontId="28" fillId="0" borderId="1" xfId="0" applyNumberFormat="1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9" fillId="18" borderId="11" xfId="0" applyFont="1" applyFill="1" applyBorder="1" applyAlignment="1">
      <alignment horizontal="center"/>
    </xf>
    <xf numFmtId="0" fontId="30" fillId="17" borderId="11" xfId="0" applyFont="1" applyFill="1" applyBorder="1" applyAlignment="1">
      <alignment horizontal="center"/>
    </xf>
    <xf numFmtId="167" fontId="31" fillId="15" borderId="1" xfId="1" applyNumberFormat="1" applyFont="1" applyFill="1" applyBorder="1" applyAlignment="1">
      <alignment horizontal="center"/>
    </xf>
    <xf numFmtId="0" fontId="32" fillId="14" borderId="1" xfId="0" applyFont="1" applyFill="1" applyBorder="1" applyAlignment="1">
      <alignment horizontal="center"/>
    </xf>
    <xf numFmtId="0" fontId="33" fillId="0" borderId="0" xfId="0" applyFont="1" applyAlignment="1">
      <alignment horizontal="right" wrapText="1"/>
    </xf>
    <xf numFmtId="0" fontId="28" fillId="0" borderId="0" xfId="0" applyFont="1"/>
    <xf numFmtId="43" fontId="28" fillId="0" borderId="0" xfId="0" applyNumberFormat="1" applyFont="1" applyAlignment="1">
      <alignment horizontal="right"/>
    </xf>
    <xf numFmtId="0" fontId="2" fillId="4" borderId="1" xfId="0" applyFont="1" applyFill="1" applyBorder="1"/>
    <xf numFmtId="2" fontId="2" fillId="4" borderId="1" xfId="0" applyNumberFormat="1" applyFont="1" applyFill="1" applyBorder="1" applyAlignment="1">
      <alignment horizontal="right"/>
    </xf>
    <xf numFmtId="0" fontId="28" fillId="4" borderId="1" xfId="0" applyFont="1" applyFill="1" applyBorder="1" applyAlignment="1">
      <alignment horizontal="center" wrapText="1"/>
    </xf>
    <xf numFmtId="0" fontId="34" fillId="14" borderId="1" xfId="0" applyFont="1" applyFill="1" applyBorder="1" applyAlignment="1">
      <alignment horizontal="center" wrapText="1"/>
    </xf>
    <xf numFmtId="0" fontId="28" fillId="14" borderId="1" xfId="0" applyFont="1" applyFill="1" applyBorder="1" applyAlignment="1">
      <alignment horizontal="center" wrapText="1"/>
    </xf>
    <xf numFmtId="0" fontId="28" fillId="14" borderId="1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166" fontId="1" fillId="0" borderId="0" xfId="0" applyNumberFormat="1" applyFont="1" applyAlignment="1"/>
    <xf numFmtId="0" fontId="13" fillId="0" borderId="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6" fontId="22" fillId="0" borderId="6" xfId="1" applyFont="1" applyBorder="1" applyAlignment="1">
      <alignment horizontal="center" wrapText="1"/>
    </xf>
    <xf numFmtId="166" fontId="22" fillId="0" borderId="7" xfId="1" applyFont="1" applyBorder="1" applyAlignment="1">
      <alignment horizontal="center" wrapText="1"/>
    </xf>
    <xf numFmtId="166" fontId="22" fillId="0" borderId="8" xfId="1" applyFont="1" applyBorder="1" applyAlignment="1">
      <alignment horizontal="center" wrapText="1"/>
    </xf>
    <xf numFmtId="0" fontId="14" fillId="19" borderId="32" xfId="0" applyFont="1" applyFill="1" applyBorder="1" applyAlignment="1">
      <alignment horizontal="center" wrapText="1"/>
    </xf>
    <xf numFmtId="0" fontId="13" fillId="21" borderId="8" xfId="0" applyFont="1" applyFill="1" applyBorder="1" applyAlignment="1">
      <alignment horizontal="center" vertical="center" wrapText="1"/>
    </xf>
    <xf numFmtId="0" fontId="13" fillId="21" borderId="22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wrapText="1"/>
    </xf>
    <xf numFmtId="0" fontId="18" fillId="20" borderId="1" xfId="0" applyFont="1" applyFill="1" applyBorder="1" applyAlignment="1">
      <alignment horizontal="center" wrapText="1"/>
    </xf>
    <xf numFmtId="0" fontId="15" fillId="22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36" fillId="0" borderId="5" xfId="0" applyFont="1" applyBorder="1" applyAlignment="1">
      <alignment horizontal="center" wrapText="1"/>
    </xf>
    <xf numFmtId="0" fontId="1" fillId="22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right" wrapText="1"/>
    </xf>
    <xf numFmtId="2" fontId="1" fillId="20" borderId="2" xfId="0" applyNumberFormat="1" applyFont="1" applyFill="1" applyBorder="1" applyAlignment="1">
      <alignment horizontal="right" wrapText="1"/>
    </xf>
    <xf numFmtId="2" fontId="1" fillId="20" borderId="1" xfId="0" applyNumberFormat="1" applyFont="1" applyFill="1" applyBorder="1" applyAlignment="1">
      <alignment horizontal="right"/>
    </xf>
    <xf numFmtId="2" fontId="1" fillId="20" borderId="25" xfId="0" applyNumberFormat="1" applyFont="1" applyFill="1" applyBorder="1" applyAlignment="1">
      <alignment horizontal="right"/>
    </xf>
    <xf numFmtId="166" fontId="2" fillId="20" borderId="11" xfId="1" applyFont="1" applyFill="1" applyBorder="1" applyAlignment="1">
      <alignment horizontal="center"/>
    </xf>
    <xf numFmtId="2" fontId="2" fillId="20" borderId="11" xfId="0" applyNumberFormat="1" applyFont="1" applyFill="1" applyBorder="1" applyAlignment="1">
      <alignment horizontal="right"/>
    </xf>
    <xf numFmtId="0" fontId="8" fillId="0" borderId="1" xfId="0" applyFont="1" applyBorder="1" applyAlignment="1">
      <alignment wrapText="1"/>
    </xf>
    <xf numFmtId="0" fontId="37" fillId="5" borderId="1" xfId="0" applyFont="1" applyFill="1" applyBorder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mruColors>
      <color rgb="FFFFFF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tabSelected="1" topLeftCell="A67" zoomScaleNormal="100" workbookViewId="0">
      <selection sqref="A1:I96"/>
    </sheetView>
  </sheetViews>
  <sheetFormatPr defaultRowHeight="12.75" x14ac:dyDescent="0.2"/>
  <cols>
    <col min="1" max="1" width="7.28515625" style="2" customWidth="1"/>
    <col min="2" max="2" width="49.42578125" style="18" customWidth="1"/>
    <col min="3" max="3" width="11" style="3" customWidth="1"/>
    <col min="4" max="4" width="9.140625" style="8" customWidth="1"/>
    <col min="5" max="5" width="9.28515625" style="3" customWidth="1"/>
    <col min="6" max="6" width="11.7109375" style="3" customWidth="1"/>
    <col min="7" max="7" width="13.42578125" style="32" customWidth="1"/>
    <col min="8" max="8" width="10.85546875" style="32" customWidth="1"/>
    <col min="9" max="9" width="12" style="32" customWidth="1"/>
    <col min="10" max="10" width="7.85546875" style="2" customWidth="1"/>
    <col min="11" max="11" width="5.42578125" style="2" customWidth="1"/>
    <col min="12" max="12" width="6.85546875" style="2" customWidth="1"/>
    <col min="13" max="13" width="22.5703125" style="2" customWidth="1"/>
    <col min="14" max="14" width="13.5703125" style="32" customWidth="1"/>
    <col min="15" max="15" width="12.140625" style="32" customWidth="1"/>
    <col min="16" max="16" width="10" style="2" bestFit="1" customWidth="1"/>
    <col min="17" max="18" width="7.5703125" style="2" customWidth="1"/>
    <col min="19" max="19" width="8.7109375" style="2" customWidth="1"/>
    <col min="20" max="16384" width="9.140625" style="2"/>
  </cols>
  <sheetData>
    <row r="1" spans="1:20" ht="12.75" customHeight="1" x14ac:dyDescent="0.2">
      <c r="A1" s="90"/>
      <c r="B1" s="310" t="s">
        <v>195</v>
      </c>
      <c r="C1" s="86" t="s">
        <v>74</v>
      </c>
      <c r="D1" s="87"/>
      <c r="E1" s="66"/>
      <c r="F1" s="80">
        <f>39739.85+9049.3</f>
        <v>48789.149999999994</v>
      </c>
      <c r="G1" s="148" t="s">
        <v>76</v>
      </c>
      <c r="H1" s="149">
        <v>0.75</v>
      </c>
      <c r="I1" s="150">
        <f>F3*H1</f>
        <v>34187.962499999994</v>
      </c>
      <c r="J1" s="9"/>
      <c r="K1" s="167"/>
    </row>
    <row r="2" spans="1:20" s="1" customFormat="1" ht="12" customHeight="1" x14ac:dyDescent="0.2">
      <c r="A2" s="91"/>
      <c r="B2" s="311"/>
      <c r="C2" s="86" t="s">
        <v>80</v>
      </c>
      <c r="D2" s="88"/>
      <c r="E2" s="89"/>
      <c r="F2" s="249">
        <f>2880+325.2</f>
        <v>3205.2</v>
      </c>
      <c r="G2" s="148" t="s">
        <v>77</v>
      </c>
      <c r="H2" s="149">
        <v>0.25</v>
      </c>
      <c r="I2" s="151">
        <f>F3*H2</f>
        <v>11395.987499999999</v>
      </c>
      <c r="J2" s="7"/>
      <c r="K2" s="248"/>
      <c r="N2" s="72"/>
      <c r="O2" s="72"/>
    </row>
    <row r="3" spans="1:20" s="1" customFormat="1" ht="11.25" customHeight="1" x14ac:dyDescent="0.25">
      <c r="A3" s="92"/>
      <c r="B3" s="135"/>
      <c r="C3" s="312" t="s">
        <v>75</v>
      </c>
      <c r="D3" s="313"/>
      <c r="E3" s="314"/>
      <c r="F3" s="152">
        <f>F1-F2</f>
        <v>45583.95</v>
      </c>
      <c r="G3" s="83"/>
      <c r="H3" s="84" t="s">
        <v>68</v>
      </c>
      <c r="I3" s="153">
        <f>SUM(I1:I2)</f>
        <v>45583.95</v>
      </c>
      <c r="J3" s="85"/>
      <c r="K3" s="168"/>
      <c r="N3" s="72"/>
      <c r="O3" s="72"/>
    </row>
    <row r="4" spans="1:20" s="140" customFormat="1" ht="18.75" customHeight="1" x14ac:dyDescent="0.2">
      <c r="A4" s="136"/>
      <c r="B4" s="143"/>
      <c r="C4" s="187" t="s">
        <v>33</v>
      </c>
      <c r="D4" s="325" t="s">
        <v>198</v>
      </c>
      <c r="E4" s="137" t="s">
        <v>2</v>
      </c>
      <c r="F4" s="137" t="s">
        <v>3</v>
      </c>
      <c r="G4" s="138" t="s">
        <v>4</v>
      </c>
      <c r="H4" s="138" t="s">
        <v>5</v>
      </c>
      <c r="I4" s="138" t="s">
        <v>6</v>
      </c>
      <c r="J4" s="139"/>
      <c r="K4" s="244"/>
      <c r="M4" s="141"/>
      <c r="N4" s="142" t="s">
        <v>66</v>
      </c>
      <c r="O4" s="142" t="s">
        <v>67</v>
      </c>
    </row>
    <row r="5" spans="1:20" x14ac:dyDescent="0.2">
      <c r="A5" s="9" t="s">
        <v>14</v>
      </c>
      <c r="B5" s="265" t="s">
        <v>87</v>
      </c>
      <c r="C5" s="268">
        <v>1</v>
      </c>
      <c r="D5" s="7"/>
      <c r="E5" s="321">
        <f>40+20</f>
        <v>60</v>
      </c>
      <c r="F5" s="289">
        <v>18.5</v>
      </c>
      <c r="G5" s="78">
        <f>E5*F5</f>
        <v>1110</v>
      </c>
      <c r="H5" s="78">
        <f>G5*32.7/100</f>
        <v>362.97</v>
      </c>
      <c r="I5" s="78">
        <f>G5+H5</f>
        <v>1472.97</v>
      </c>
      <c r="J5" s="9" t="s">
        <v>22</v>
      </c>
      <c r="K5" s="308"/>
      <c r="M5" s="79" t="s">
        <v>71</v>
      </c>
      <c r="N5" s="80">
        <f>G5</f>
        <v>1110</v>
      </c>
      <c r="O5" s="80">
        <f>I5</f>
        <v>1472.97</v>
      </c>
      <c r="Q5" s="161"/>
    </row>
    <row r="6" spans="1:20" x14ac:dyDescent="0.2">
      <c r="A6" s="9" t="s">
        <v>14</v>
      </c>
      <c r="B6" s="19" t="s">
        <v>88</v>
      </c>
      <c r="C6" s="268">
        <v>1</v>
      </c>
      <c r="D6" s="7"/>
      <c r="E6" s="322">
        <v>40</v>
      </c>
      <c r="F6" s="289">
        <v>18.5</v>
      </c>
      <c r="G6" s="81">
        <f t="shared" ref="G6:G43" si="0">E6*F6</f>
        <v>740</v>
      </c>
      <c r="H6" s="78">
        <f>G6*32.7/100</f>
        <v>241.98000000000005</v>
      </c>
      <c r="I6" s="81">
        <f>G6+H6</f>
        <v>981.98</v>
      </c>
      <c r="J6" s="9" t="s">
        <v>22</v>
      </c>
      <c r="K6" s="308"/>
      <c r="M6" s="235" t="s">
        <v>117</v>
      </c>
      <c r="N6" s="80">
        <f>G43+G44</f>
        <v>2541</v>
      </c>
      <c r="O6" s="80">
        <f>I43+I44</f>
        <v>3371.9070000000002</v>
      </c>
      <c r="Q6" s="161"/>
    </row>
    <row r="7" spans="1:20" x14ac:dyDescent="0.2">
      <c r="A7" s="9" t="s">
        <v>14</v>
      </c>
      <c r="B7" s="19" t="s">
        <v>89</v>
      </c>
      <c r="C7" s="268">
        <v>1</v>
      </c>
      <c r="D7" s="7"/>
      <c r="E7" s="322">
        <v>40</v>
      </c>
      <c r="F7" s="289">
        <v>18.5</v>
      </c>
      <c r="G7" s="81">
        <f t="shared" ref="G7" si="1">E7*F7</f>
        <v>740</v>
      </c>
      <c r="H7" s="78">
        <f>G7*32.7/100</f>
        <v>241.98000000000005</v>
      </c>
      <c r="I7" s="81">
        <f>G7+H7</f>
        <v>981.98</v>
      </c>
      <c r="J7" s="9" t="s">
        <v>22</v>
      </c>
      <c r="K7" s="308"/>
      <c r="M7" s="74" t="s">
        <v>72</v>
      </c>
      <c r="N7" s="80">
        <f>SUM(G6:G42)+G45</f>
        <v>22203.75</v>
      </c>
      <c r="O7" s="80">
        <f>SUM(I6:I42)+I45</f>
        <v>29464.376249999998</v>
      </c>
      <c r="Q7" s="161"/>
    </row>
    <row r="8" spans="1:20" x14ac:dyDescent="0.2">
      <c r="A8" s="9" t="s">
        <v>14</v>
      </c>
      <c r="B8" s="19" t="s">
        <v>90</v>
      </c>
      <c r="C8" s="268">
        <v>1</v>
      </c>
      <c r="D8" s="7"/>
      <c r="E8" s="322">
        <v>30</v>
      </c>
      <c r="F8" s="289">
        <v>18.5</v>
      </c>
      <c r="G8" s="81">
        <f t="shared" ref="G8:G11" si="2">E8*F8</f>
        <v>555</v>
      </c>
      <c r="H8" s="29">
        <f t="shared" ref="H8:H11" si="3">G8*32.7/100</f>
        <v>181.48500000000001</v>
      </c>
      <c r="I8" s="81">
        <f t="shared" ref="I8:I11" si="4">G8+H8</f>
        <v>736.48500000000001</v>
      </c>
      <c r="J8" s="9" t="s">
        <v>22</v>
      </c>
      <c r="K8" s="308"/>
      <c r="M8" s="235" t="s">
        <v>73</v>
      </c>
      <c r="N8" s="82"/>
      <c r="O8" s="236">
        <f>N8*132.7/100</f>
        <v>0</v>
      </c>
    </row>
    <row r="9" spans="1:20" x14ac:dyDescent="0.2">
      <c r="A9" s="9" t="s">
        <v>14</v>
      </c>
      <c r="B9" s="19" t="s">
        <v>91</v>
      </c>
      <c r="C9" s="268">
        <v>1</v>
      </c>
      <c r="D9" s="7"/>
      <c r="E9" s="322">
        <v>20</v>
      </c>
      <c r="F9" s="289">
        <v>18.5</v>
      </c>
      <c r="G9" s="81">
        <f t="shared" si="2"/>
        <v>370</v>
      </c>
      <c r="H9" s="29">
        <f t="shared" si="3"/>
        <v>120.99000000000002</v>
      </c>
      <c r="I9" s="81">
        <f t="shared" si="4"/>
        <v>490.99</v>
      </c>
      <c r="J9" s="9" t="s">
        <v>22</v>
      </c>
      <c r="K9" s="308"/>
      <c r="M9" s="239" t="s">
        <v>68</v>
      </c>
      <c r="N9" s="240">
        <f>SUM(N5:N8)</f>
        <v>25854.75</v>
      </c>
      <c r="O9" s="240">
        <f>SUM(O5:O8)</f>
        <v>34309.253249999994</v>
      </c>
      <c r="Q9" s="161"/>
    </row>
    <row r="10" spans="1:20" x14ac:dyDescent="0.2">
      <c r="A10" s="9" t="s">
        <v>14</v>
      </c>
      <c r="B10" s="19" t="s">
        <v>92</v>
      </c>
      <c r="C10" s="268">
        <v>1</v>
      </c>
      <c r="D10" s="7"/>
      <c r="E10" s="322">
        <v>30</v>
      </c>
      <c r="F10" s="289">
        <v>18.5</v>
      </c>
      <c r="G10" s="81">
        <f t="shared" si="2"/>
        <v>555</v>
      </c>
      <c r="H10" s="29">
        <f t="shared" si="3"/>
        <v>181.48500000000001</v>
      </c>
      <c r="I10" s="81">
        <f t="shared" si="4"/>
        <v>736.48500000000001</v>
      </c>
      <c r="J10" s="9" t="s">
        <v>22</v>
      </c>
      <c r="K10" s="308"/>
      <c r="M10" s="237" t="s">
        <v>15</v>
      </c>
      <c r="N10" s="208">
        <f>G80+G46</f>
        <v>3600</v>
      </c>
      <c r="O10" s="208">
        <f>I80+I46</f>
        <v>4777.2</v>
      </c>
      <c r="P10" s="161"/>
      <c r="Q10" s="161"/>
    </row>
    <row r="11" spans="1:20" x14ac:dyDescent="0.2">
      <c r="A11" s="9" t="s">
        <v>14</v>
      </c>
      <c r="B11" s="19" t="s">
        <v>93</v>
      </c>
      <c r="C11" s="268">
        <v>1</v>
      </c>
      <c r="D11" s="7"/>
      <c r="E11" s="322">
        <v>25</v>
      </c>
      <c r="F11" s="289">
        <v>18.5</v>
      </c>
      <c r="G11" s="81">
        <f t="shared" si="2"/>
        <v>462.5</v>
      </c>
      <c r="H11" s="29">
        <f t="shared" si="3"/>
        <v>151.23750000000001</v>
      </c>
      <c r="I11" s="81">
        <f t="shared" si="4"/>
        <v>613.73749999999995</v>
      </c>
      <c r="J11" s="9" t="s">
        <v>22</v>
      </c>
      <c r="K11" s="308"/>
      <c r="M11" s="9" t="s">
        <v>83</v>
      </c>
      <c r="N11" s="33">
        <f>G90</f>
        <v>700</v>
      </c>
      <c r="O11" s="33">
        <f>I90</f>
        <v>928.90000000000009</v>
      </c>
      <c r="Q11" s="161" t="s">
        <v>188</v>
      </c>
    </row>
    <row r="12" spans="1:20" x14ac:dyDescent="0.2">
      <c r="A12" s="9" t="s">
        <v>14</v>
      </c>
      <c r="B12" s="19" t="s">
        <v>135</v>
      </c>
      <c r="C12" s="268">
        <v>6</v>
      </c>
      <c r="D12" s="7"/>
      <c r="E12" s="321">
        <f>C12*23</f>
        <v>138</v>
      </c>
      <c r="F12" s="289">
        <v>18.5</v>
      </c>
      <c r="G12" s="81">
        <f t="shared" ref="G12" si="5">E12*F12</f>
        <v>2553</v>
      </c>
      <c r="H12" s="29">
        <f>G12*32.7/100</f>
        <v>834.83100000000002</v>
      </c>
      <c r="I12" s="81">
        <f>G12+H12</f>
        <v>3387.8310000000001</v>
      </c>
      <c r="J12" s="9" t="s">
        <v>22</v>
      </c>
      <c r="K12" s="245"/>
      <c r="M12" s="9" t="s">
        <v>69</v>
      </c>
      <c r="N12" s="33">
        <f>G89</f>
        <v>384.6</v>
      </c>
      <c r="O12" s="33">
        <f>I89</f>
        <v>510.36420000000004</v>
      </c>
      <c r="Q12" s="161"/>
    </row>
    <row r="13" spans="1:20" x14ac:dyDescent="0.2">
      <c r="A13" s="9" t="s">
        <v>14</v>
      </c>
      <c r="B13" s="19" t="s">
        <v>136</v>
      </c>
      <c r="C13" s="268">
        <v>6</v>
      </c>
      <c r="D13" s="7"/>
      <c r="E13" s="321">
        <f>C13*2</f>
        <v>12</v>
      </c>
      <c r="F13" s="289">
        <v>18.5</v>
      </c>
      <c r="G13" s="81">
        <f t="shared" ref="G13" si="6">E13*F13</f>
        <v>222</v>
      </c>
      <c r="H13" s="29">
        <f>G13*32.7/100</f>
        <v>72.594000000000008</v>
      </c>
      <c r="I13" s="81">
        <f>G13+H13</f>
        <v>294.59399999999999</v>
      </c>
      <c r="J13" s="9" t="s">
        <v>22</v>
      </c>
      <c r="K13" s="245"/>
      <c r="M13" s="9"/>
      <c r="N13" s="147"/>
      <c r="O13" s="33"/>
      <c r="Q13" s="161" t="s">
        <v>189</v>
      </c>
      <c r="R13" s="2" t="s">
        <v>190</v>
      </c>
    </row>
    <row r="14" spans="1:20" x14ac:dyDescent="0.2">
      <c r="A14" s="9" t="s">
        <v>14</v>
      </c>
      <c r="B14" s="19" t="s">
        <v>125</v>
      </c>
      <c r="C14" s="268">
        <v>3</v>
      </c>
      <c r="D14" s="7"/>
      <c r="E14" s="321">
        <f>C14*4</f>
        <v>12</v>
      </c>
      <c r="F14" s="289">
        <v>18.5</v>
      </c>
      <c r="G14" s="81">
        <f t="shared" ref="G14:G15" si="7">E14*F14</f>
        <v>222</v>
      </c>
      <c r="H14" s="29">
        <f t="shared" ref="H14:H15" si="8">G14*32.7/100</f>
        <v>72.594000000000008</v>
      </c>
      <c r="I14" s="81">
        <f t="shared" ref="I14:I15" si="9">G14+H14</f>
        <v>294.59399999999999</v>
      </c>
      <c r="J14" s="9" t="s">
        <v>22</v>
      </c>
      <c r="K14" s="245"/>
      <c r="M14" s="155" t="s">
        <v>68</v>
      </c>
      <c r="N14" s="156">
        <f>SUM(N10:N13)</f>
        <v>4684.6000000000004</v>
      </c>
      <c r="O14" s="156">
        <f>SUM(O10:O13)</f>
        <v>6216.4642000000003</v>
      </c>
      <c r="Q14" s="285">
        <v>17.5</v>
      </c>
      <c r="R14" s="3">
        <v>4</v>
      </c>
      <c r="S14" s="273">
        <f>Q14*R14</f>
        <v>70</v>
      </c>
    </row>
    <row r="15" spans="1:20" x14ac:dyDescent="0.2">
      <c r="A15" s="9" t="s">
        <v>14</v>
      </c>
      <c r="B15" s="19" t="s">
        <v>126</v>
      </c>
      <c r="C15" s="268">
        <v>2</v>
      </c>
      <c r="D15" s="7"/>
      <c r="E15" s="321">
        <f>C15*4</f>
        <v>8</v>
      </c>
      <c r="F15" s="289">
        <v>18.5</v>
      </c>
      <c r="G15" s="81">
        <f t="shared" si="7"/>
        <v>148</v>
      </c>
      <c r="H15" s="29">
        <f t="shared" si="8"/>
        <v>48.396000000000001</v>
      </c>
      <c r="I15" s="81">
        <f t="shared" si="9"/>
        <v>196.39600000000002</v>
      </c>
      <c r="J15" s="9" t="s">
        <v>22</v>
      </c>
      <c r="K15" s="245"/>
      <c r="P15" s="24"/>
      <c r="Q15" s="286">
        <v>19.25</v>
      </c>
      <c r="R15" s="287">
        <v>6</v>
      </c>
      <c r="S15" s="288">
        <f>Q15*R15</f>
        <v>115.5</v>
      </c>
      <c r="T15" s="2" t="s">
        <v>191</v>
      </c>
    </row>
    <row r="16" spans="1:20" ht="12.75" customHeight="1" x14ac:dyDescent="0.2">
      <c r="A16" s="9" t="s">
        <v>14</v>
      </c>
      <c r="B16" s="70" t="s">
        <v>63</v>
      </c>
      <c r="C16" s="268">
        <v>3</v>
      </c>
      <c r="D16" s="7"/>
      <c r="E16" s="321">
        <f>C16*2</f>
        <v>6</v>
      </c>
      <c r="F16" s="289">
        <v>18.5</v>
      </c>
      <c r="G16" s="81">
        <f t="shared" si="0"/>
        <v>111</v>
      </c>
      <c r="H16" s="29">
        <f>G16*32.7/100</f>
        <v>36.297000000000004</v>
      </c>
      <c r="I16" s="81">
        <f>G16+H16</f>
        <v>147.297</v>
      </c>
      <c r="J16" s="9" t="s">
        <v>22</v>
      </c>
      <c r="K16" s="245"/>
      <c r="M16" s="241" t="s">
        <v>68</v>
      </c>
      <c r="N16" s="242">
        <f>N9+N14</f>
        <v>30539.35</v>
      </c>
      <c r="O16" s="243">
        <f>O9+O14</f>
        <v>40525.717449999996</v>
      </c>
      <c r="Q16" s="161"/>
      <c r="R16" s="2">
        <v>10</v>
      </c>
      <c r="S16" s="273">
        <f>SUM(S14:S15)</f>
        <v>185.5</v>
      </c>
      <c r="T16" s="273">
        <f>S16/R16</f>
        <v>18.55</v>
      </c>
    </row>
    <row r="17" spans="1:16" x14ac:dyDescent="0.2">
      <c r="A17" s="9" t="s">
        <v>14</v>
      </c>
      <c r="B17" s="71" t="s">
        <v>64</v>
      </c>
      <c r="C17" s="268">
        <v>2</v>
      </c>
      <c r="D17" s="7"/>
      <c r="E17" s="321">
        <f>C17*2</f>
        <v>4</v>
      </c>
      <c r="F17" s="289">
        <v>18.5</v>
      </c>
      <c r="G17" s="81">
        <f t="shared" si="0"/>
        <v>74</v>
      </c>
      <c r="H17" s="29">
        <f t="shared" ref="H17:H23" si="10">G17*32.7/100</f>
        <v>24.198</v>
      </c>
      <c r="I17" s="81">
        <f t="shared" ref="I17:I23" si="11">G17+H17</f>
        <v>98.198000000000008</v>
      </c>
      <c r="J17" s="9" t="s">
        <v>22</v>
      </c>
      <c r="K17" s="245"/>
    </row>
    <row r="18" spans="1:16" x14ac:dyDescent="0.2">
      <c r="A18" s="9" t="s">
        <v>14</v>
      </c>
      <c r="B18" s="71" t="s">
        <v>127</v>
      </c>
      <c r="C18" s="268">
        <v>14</v>
      </c>
      <c r="D18" s="7"/>
      <c r="E18" s="321">
        <f>C18*15</f>
        <v>210</v>
      </c>
      <c r="F18" s="289">
        <v>18.5</v>
      </c>
      <c r="G18" s="81">
        <f t="shared" si="0"/>
        <v>3885</v>
      </c>
      <c r="H18" s="29">
        <f t="shared" ref="H18" si="12">G18*32.7/100</f>
        <v>1270.3950000000002</v>
      </c>
      <c r="I18" s="81">
        <f t="shared" ref="I18" si="13">G18+H18</f>
        <v>5155.3950000000004</v>
      </c>
      <c r="J18" s="9" t="s">
        <v>22</v>
      </c>
      <c r="K18" s="245"/>
      <c r="M18" s="74" t="s">
        <v>70</v>
      </c>
      <c r="N18" s="75">
        <f>G88</f>
        <v>907.68</v>
      </c>
      <c r="O18" s="75">
        <f>I88</f>
        <v>1204.51136</v>
      </c>
    </row>
    <row r="19" spans="1:16" x14ac:dyDescent="0.2">
      <c r="A19" s="9" t="s">
        <v>14</v>
      </c>
      <c r="B19" s="71" t="s">
        <v>184</v>
      </c>
      <c r="C19" s="268">
        <v>6</v>
      </c>
      <c r="D19" s="7"/>
      <c r="E19" s="321">
        <f>C19*7</f>
        <v>42</v>
      </c>
      <c r="F19" s="289">
        <v>18.5</v>
      </c>
      <c r="G19" s="81">
        <f t="shared" ref="G19" si="14">E19*F19</f>
        <v>777</v>
      </c>
      <c r="H19" s="29">
        <f t="shared" ref="H19" si="15">G19*32.7/100</f>
        <v>254.07900000000001</v>
      </c>
      <c r="I19" s="81">
        <f t="shared" ref="I19" si="16">G19+H19</f>
        <v>1031.079</v>
      </c>
      <c r="J19" s="9" t="s">
        <v>22</v>
      </c>
      <c r="K19" s="245"/>
      <c r="M19" s="283"/>
      <c r="N19" s="284"/>
      <c r="O19" s="284"/>
    </row>
    <row r="20" spans="1:16" x14ac:dyDescent="0.2">
      <c r="A20" s="9" t="s">
        <v>14</v>
      </c>
      <c r="B20" s="71" t="s">
        <v>183</v>
      </c>
      <c r="C20" s="268">
        <v>6</v>
      </c>
      <c r="D20" s="7"/>
      <c r="E20" s="321">
        <f>C20*2</f>
        <v>12</v>
      </c>
      <c r="F20" s="289">
        <v>18.5</v>
      </c>
      <c r="G20" s="81">
        <f t="shared" si="0"/>
        <v>222</v>
      </c>
      <c r="H20" s="29">
        <f t="shared" si="10"/>
        <v>72.594000000000008</v>
      </c>
      <c r="I20" s="81">
        <f t="shared" si="11"/>
        <v>294.59399999999999</v>
      </c>
      <c r="J20" s="9" t="s">
        <v>22</v>
      </c>
      <c r="K20" s="245"/>
      <c r="N20" s="2"/>
      <c r="O20" s="2"/>
    </row>
    <row r="21" spans="1:16" x14ac:dyDescent="0.2">
      <c r="A21" s="9" t="s">
        <v>14</v>
      </c>
      <c r="B21" s="71" t="s">
        <v>182</v>
      </c>
      <c r="C21" s="268">
        <v>6</v>
      </c>
      <c r="D21" s="7"/>
      <c r="E21" s="321">
        <f>C21*2</f>
        <v>12</v>
      </c>
      <c r="F21" s="289">
        <v>18.5</v>
      </c>
      <c r="G21" s="81">
        <f t="shared" ref="G21" si="17">E21*F21</f>
        <v>222</v>
      </c>
      <c r="H21" s="29">
        <f t="shared" ref="H21" si="18">G21*32.7/100</f>
        <v>72.594000000000008</v>
      </c>
      <c r="I21" s="81">
        <f t="shared" ref="I21" si="19">G21+H21</f>
        <v>294.59399999999999</v>
      </c>
      <c r="J21" s="9" t="s">
        <v>22</v>
      </c>
      <c r="K21" s="245"/>
      <c r="N21" s="2"/>
      <c r="O21" s="2"/>
    </row>
    <row r="22" spans="1:16" x14ac:dyDescent="0.2">
      <c r="A22" s="9" t="s">
        <v>14</v>
      </c>
      <c r="B22" s="71" t="s">
        <v>128</v>
      </c>
      <c r="C22" s="268">
        <v>1</v>
      </c>
      <c r="D22" s="7"/>
      <c r="E22" s="321">
        <f>C22*10</f>
        <v>10</v>
      </c>
      <c r="F22" s="289">
        <v>18.5</v>
      </c>
      <c r="G22" s="81">
        <f t="shared" ref="G22" si="20">E22*F22</f>
        <v>185</v>
      </c>
      <c r="H22" s="29">
        <f t="shared" ref="H22" si="21">G22*32.7/100</f>
        <v>60.495000000000012</v>
      </c>
      <c r="I22" s="81">
        <f t="shared" ref="I22" si="22">G22+H22</f>
        <v>245.495</v>
      </c>
      <c r="J22" s="9" t="s">
        <v>22</v>
      </c>
      <c r="K22" s="245"/>
      <c r="N22" s="2"/>
      <c r="O22" s="2"/>
    </row>
    <row r="23" spans="1:16" ht="14.25" customHeight="1" x14ac:dyDescent="0.2">
      <c r="A23" s="9" t="s">
        <v>14</v>
      </c>
      <c r="B23" s="71" t="s">
        <v>115</v>
      </c>
      <c r="C23" s="268">
        <v>6</v>
      </c>
      <c r="D23" s="7"/>
      <c r="E23" s="321">
        <f>(C23*10)-15</f>
        <v>45</v>
      </c>
      <c r="F23" s="289">
        <v>18.5</v>
      </c>
      <c r="G23" s="81">
        <f t="shared" si="0"/>
        <v>832.5</v>
      </c>
      <c r="H23" s="29">
        <f t="shared" si="10"/>
        <v>272.22750000000002</v>
      </c>
      <c r="I23" s="81">
        <f t="shared" si="11"/>
        <v>1104.7275</v>
      </c>
      <c r="J23" s="9" t="s">
        <v>22</v>
      </c>
      <c r="K23" s="245"/>
      <c r="M23" s="76" t="s">
        <v>52</v>
      </c>
      <c r="N23" s="157">
        <f>N16+N18</f>
        <v>31447.03</v>
      </c>
      <c r="O23" s="158">
        <f>O16+O18</f>
        <v>41730.228809999993</v>
      </c>
    </row>
    <row r="24" spans="1:16" ht="15" customHeight="1" x14ac:dyDescent="0.2">
      <c r="A24" s="9" t="s">
        <v>14</v>
      </c>
      <c r="B24" s="71" t="s">
        <v>196</v>
      </c>
      <c r="C24" s="270" t="s">
        <v>18</v>
      </c>
      <c r="D24" s="7">
        <v>1</v>
      </c>
      <c r="E24" s="323">
        <v>43</v>
      </c>
      <c r="F24" s="162">
        <v>17.5</v>
      </c>
      <c r="G24" s="81">
        <f t="shared" si="0"/>
        <v>752.5</v>
      </c>
      <c r="H24" s="29">
        <f t="shared" ref="H24:H38" si="23">G24*32.7/100</f>
        <v>246.06750000000002</v>
      </c>
      <c r="I24" s="81">
        <f t="shared" ref="I24:I38" si="24">G24+H24</f>
        <v>998.5675</v>
      </c>
      <c r="J24" s="9" t="s">
        <v>22</v>
      </c>
      <c r="K24" s="245"/>
    </row>
    <row r="25" spans="1:16" x14ac:dyDescent="0.2">
      <c r="A25" s="9" t="s">
        <v>14</v>
      </c>
      <c r="B25" s="71" t="s">
        <v>118</v>
      </c>
      <c r="C25" s="270">
        <v>5</v>
      </c>
      <c r="D25" s="7">
        <v>-6</v>
      </c>
      <c r="E25" s="323">
        <v>30</v>
      </c>
      <c r="F25" s="289">
        <v>18.5</v>
      </c>
      <c r="G25" s="81">
        <f t="shared" ref="G25" si="25">E25*F25</f>
        <v>555</v>
      </c>
      <c r="H25" s="29">
        <f t="shared" ref="H25" si="26">G25*32.7/100</f>
        <v>181.48500000000001</v>
      </c>
      <c r="I25" s="81">
        <f t="shared" ref="I25" si="27">G25+H25</f>
        <v>736.48500000000001</v>
      </c>
      <c r="J25" s="9" t="s">
        <v>22</v>
      </c>
      <c r="K25" s="245"/>
    </row>
    <row r="26" spans="1:16" ht="11.25" customHeight="1" x14ac:dyDescent="0.2">
      <c r="A26" s="9" t="s">
        <v>14</v>
      </c>
      <c r="B26" s="77" t="s">
        <v>176</v>
      </c>
      <c r="C26" s="270">
        <v>6</v>
      </c>
      <c r="D26" s="7">
        <v>-50</v>
      </c>
      <c r="E26" s="326">
        <v>0</v>
      </c>
      <c r="F26" s="5">
        <v>17.5</v>
      </c>
      <c r="G26" s="81">
        <f t="shared" si="0"/>
        <v>0</v>
      </c>
      <c r="H26" s="29">
        <f t="shared" si="23"/>
        <v>0</v>
      </c>
      <c r="I26" s="81">
        <f t="shared" si="24"/>
        <v>0</v>
      </c>
      <c r="J26" s="9" t="s">
        <v>22</v>
      </c>
      <c r="K26" s="245"/>
      <c r="M26" s="9" t="s">
        <v>84</v>
      </c>
      <c r="N26" s="159">
        <f>G74</f>
        <v>2880</v>
      </c>
      <c r="O26" s="33">
        <f>I74</f>
        <v>3821.76</v>
      </c>
    </row>
    <row r="27" spans="1:16" ht="12" customHeight="1" x14ac:dyDescent="0.2">
      <c r="A27" s="9" t="s">
        <v>14</v>
      </c>
      <c r="B27" s="275" t="s">
        <v>175</v>
      </c>
      <c r="C27" s="270">
        <v>10</v>
      </c>
      <c r="D27" s="7">
        <v>-52</v>
      </c>
      <c r="E27" s="326">
        <v>18</v>
      </c>
      <c r="F27" s="5">
        <v>17.5</v>
      </c>
      <c r="G27" s="81">
        <f t="shared" si="0"/>
        <v>315</v>
      </c>
      <c r="H27" s="29">
        <f t="shared" si="23"/>
        <v>103.005</v>
      </c>
      <c r="I27" s="81">
        <f t="shared" si="24"/>
        <v>418.005</v>
      </c>
      <c r="J27" s="9" t="s">
        <v>22</v>
      </c>
      <c r="K27" s="245"/>
      <c r="M27" s="9" t="s">
        <v>85</v>
      </c>
      <c r="N27" s="159">
        <f>G75</f>
        <v>325.2</v>
      </c>
      <c r="O27" s="159">
        <f>I75</f>
        <v>431.54039999999998</v>
      </c>
    </row>
    <row r="28" spans="1:16" x14ac:dyDescent="0.2">
      <c r="A28" s="9" t="s">
        <v>14</v>
      </c>
      <c r="B28" s="77" t="s">
        <v>174</v>
      </c>
      <c r="C28" s="270">
        <v>16</v>
      </c>
      <c r="D28" s="7">
        <v>-28</v>
      </c>
      <c r="E28" s="326">
        <v>32</v>
      </c>
      <c r="F28" s="5">
        <v>17.5</v>
      </c>
      <c r="G28" s="81">
        <f t="shared" ref="G28" si="28">E28*F28</f>
        <v>560</v>
      </c>
      <c r="H28" s="29">
        <f t="shared" ref="H28" si="29">G28*32.7/100</f>
        <v>183.12</v>
      </c>
      <c r="I28" s="81">
        <f t="shared" ref="I28" si="30">G28+H28</f>
        <v>743.12</v>
      </c>
      <c r="J28" s="9" t="s">
        <v>22</v>
      </c>
      <c r="K28" s="245"/>
      <c r="M28" s="9" t="s">
        <v>32</v>
      </c>
      <c r="N28" s="159">
        <f>G60+G70+G71</f>
        <v>10764.77</v>
      </c>
      <c r="O28" s="159">
        <f>I60+I70+I71</f>
        <v>14284.84979</v>
      </c>
    </row>
    <row r="29" spans="1:16" ht="21.75" customHeight="1" x14ac:dyDescent="0.2">
      <c r="A29" s="9" t="s">
        <v>14</v>
      </c>
      <c r="B29" s="77" t="s">
        <v>173</v>
      </c>
      <c r="C29" s="270">
        <v>7</v>
      </c>
      <c r="D29" s="7">
        <v>-40</v>
      </c>
      <c r="E29" s="324">
        <v>20</v>
      </c>
      <c r="F29" s="5">
        <v>17.5</v>
      </c>
      <c r="G29" s="81">
        <f t="shared" si="0"/>
        <v>350</v>
      </c>
      <c r="H29" s="29">
        <f t="shared" ref="H29:H31" si="31">G29*32.7/100</f>
        <v>114.45000000000002</v>
      </c>
      <c r="I29" s="81">
        <f t="shared" ref="I29:I31" si="32">G29+H29</f>
        <v>464.45000000000005</v>
      </c>
      <c r="J29" s="9" t="s">
        <v>22</v>
      </c>
      <c r="K29" s="245"/>
      <c r="M29" s="9" t="s">
        <v>65</v>
      </c>
      <c r="N29" s="33">
        <f>G85</f>
        <v>1817.27</v>
      </c>
      <c r="O29" s="33">
        <f>I85</f>
        <v>2411.5172899999998</v>
      </c>
      <c r="P29" s="3"/>
    </row>
    <row r="30" spans="1:16" x14ac:dyDescent="0.2">
      <c r="A30" s="9" t="s">
        <v>14</v>
      </c>
      <c r="B30" s="77" t="s">
        <v>171</v>
      </c>
      <c r="C30" s="270">
        <v>9</v>
      </c>
      <c r="D30" s="7">
        <v>-7</v>
      </c>
      <c r="E30" s="324">
        <v>23</v>
      </c>
      <c r="F30" s="5">
        <v>17.5</v>
      </c>
      <c r="G30" s="81">
        <f t="shared" ref="G30" si="33">E30*F30</f>
        <v>402.5</v>
      </c>
      <c r="H30" s="29">
        <f t="shared" ref="H30" si="34">G30*32.7/100</f>
        <v>131.61750000000001</v>
      </c>
      <c r="I30" s="81">
        <f t="shared" ref="I30" si="35">G30+H30</f>
        <v>534.11750000000006</v>
      </c>
      <c r="J30" s="9" t="s">
        <v>22</v>
      </c>
      <c r="K30" s="245"/>
      <c r="M30" s="9" t="s">
        <v>10</v>
      </c>
      <c r="N30" s="160">
        <f>SUM(N26:N29)</f>
        <v>15787.240000000002</v>
      </c>
      <c r="O30" s="160">
        <f>SUM(O26:O29)</f>
        <v>20949.66748</v>
      </c>
    </row>
    <row r="31" spans="1:16" x14ac:dyDescent="0.2">
      <c r="A31" s="9" t="s">
        <v>14</v>
      </c>
      <c r="B31" s="77" t="s">
        <v>172</v>
      </c>
      <c r="C31" s="270">
        <v>5</v>
      </c>
      <c r="D31" s="7">
        <v>-5</v>
      </c>
      <c r="E31" s="324">
        <v>5</v>
      </c>
      <c r="F31" s="5">
        <v>17.5</v>
      </c>
      <c r="G31" s="81">
        <f t="shared" si="0"/>
        <v>87.5</v>
      </c>
      <c r="H31" s="29">
        <f t="shared" si="31"/>
        <v>28.612500000000004</v>
      </c>
      <c r="I31" s="81">
        <f t="shared" si="32"/>
        <v>116.11250000000001</v>
      </c>
      <c r="J31" s="9" t="s">
        <v>22</v>
      </c>
      <c r="K31" s="245"/>
      <c r="M31" s="165" t="s">
        <v>86</v>
      </c>
      <c r="N31" s="166">
        <f>N23+N30</f>
        <v>47234.270000000004</v>
      </c>
      <c r="O31" s="166">
        <f>O23+O30</f>
        <v>62679.89628999999</v>
      </c>
    </row>
    <row r="32" spans="1:16" x14ac:dyDescent="0.2">
      <c r="A32" s="9" t="s">
        <v>14</v>
      </c>
      <c r="B32" s="77" t="s">
        <v>197</v>
      </c>
      <c r="C32" s="269">
        <v>1</v>
      </c>
      <c r="D32" s="7"/>
      <c r="E32" s="326">
        <v>10</v>
      </c>
      <c r="F32" s="289">
        <v>18.5</v>
      </c>
      <c r="G32" s="81">
        <f t="shared" si="0"/>
        <v>185</v>
      </c>
      <c r="H32" s="29">
        <f t="shared" si="23"/>
        <v>60.495000000000012</v>
      </c>
      <c r="I32" s="81">
        <f t="shared" si="24"/>
        <v>245.495</v>
      </c>
      <c r="J32" s="9" t="s">
        <v>22</v>
      </c>
      <c r="K32" s="245"/>
      <c r="M32" s="250"/>
      <c r="N32" s="251"/>
      <c r="O32" s="251"/>
    </row>
    <row r="33" spans="1:15" x14ac:dyDescent="0.2">
      <c r="A33" s="9"/>
      <c r="B33" s="77" t="s">
        <v>177</v>
      </c>
      <c r="C33" s="269">
        <v>4</v>
      </c>
      <c r="D33" s="7">
        <v>-4</v>
      </c>
      <c r="E33" s="324">
        <v>0</v>
      </c>
      <c r="F33" s="5">
        <v>17.5</v>
      </c>
      <c r="G33" s="81">
        <f t="shared" ref="G33" si="36">E33*F33</f>
        <v>0</v>
      </c>
      <c r="H33" s="29">
        <f t="shared" ref="H33" si="37">G33*32.7/100</f>
        <v>0</v>
      </c>
      <c r="I33" s="81">
        <f t="shared" ref="I33" si="38">G33+H33</f>
        <v>0</v>
      </c>
      <c r="J33" s="9" t="s">
        <v>22</v>
      </c>
      <c r="K33" s="245"/>
      <c r="M33" s="250"/>
      <c r="N33" s="251"/>
      <c r="O33" s="251"/>
    </row>
    <row r="34" spans="1:15" x14ac:dyDescent="0.2">
      <c r="A34" s="9"/>
      <c r="B34" s="77" t="s">
        <v>138</v>
      </c>
      <c r="C34" s="269">
        <v>1</v>
      </c>
      <c r="D34" s="7"/>
      <c r="E34" s="324">
        <v>10</v>
      </c>
      <c r="F34" s="289">
        <v>18.5</v>
      </c>
      <c r="G34" s="81">
        <f t="shared" si="0"/>
        <v>185</v>
      </c>
      <c r="H34" s="29">
        <f t="shared" si="23"/>
        <v>60.495000000000012</v>
      </c>
      <c r="I34" s="81">
        <f t="shared" si="24"/>
        <v>245.495</v>
      </c>
      <c r="J34" s="9" t="s">
        <v>22</v>
      </c>
      <c r="K34" s="245"/>
    </row>
    <row r="35" spans="1:15" x14ac:dyDescent="0.2">
      <c r="A35" s="9"/>
      <c r="B35" s="77" t="s">
        <v>119</v>
      </c>
      <c r="C35" s="269">
        <v>1</v>
      </c>
      <c r="D35" s="7"/>
      <c r="E35" s="324">
        <v>10</v>
      </c>
      <c r="F35" s="289">
        <v>18.5</v>
      </c>
      <c r="G35" s="81">
        <f t="shared" si="0"/>
        <v>185</v>
      </c>
      <c r="H35" s="29">
        <f t="shared" si="23"/>
        <v>60.495000000000012</v>
      </c>
      <c r="I35" s="81">
        <f t="shared" si="24"/>
        <v>245.495</v>
      </c>
      <c r="J35" s="9" t="s">
        <v>22</v>
      </c>
      <c r="K35" s="245"/>
    </row>
    <row r="36" spans="1:15" x14ac:dyDescent="0.2">
      <c r="A36" s="9"/>
      <c r="B36" s="77" t="s">
        <v>137</v>
      </c>
      <c r="C36" s="269">
        <v>1</v>
      </c>
      <c r="D36" s="7"/>
      <c r="E36" s="324">
        <v>15</v>
      </c>
      <c r="F36" s="289">
        <v>18.5</v>
      </c>
      <c r="G36" s="81">
        <f t="shared" ref="G36:G37" si="39">E36*F36</f>
        <v>277.5</v>
      </c>
      <c r="H36" s="29">
        <f t="shared" ref="H36:H37" si="40">G36*32.7/100</f>
        <v>90.742500000000007</v>
      </c>
      <c r="I36" s="81">
        <f t="shared" ref="I36:I37" si="41">G36+H36</f>
        <v>368.24250000000001</v>
      </c>
      <c r="J36" s="9" t="s">
        <v>22</v>
      </c>
      <c r="K36" s="245"/>
      <c r="M36" s="2">
        <f>SUM(E5:E23)+E25+E32+(E34:E37)</f>
        <v>811</v>
      </c>
    </row>
    <row r="37" spans="1:15" x14ac:dyDescent="0.2">
      <c r="A37" s="9"/>
      <c r="B37" s="77" t="s">
        <v>150</v>
      </c>
      <c r="C37" s="269">
        <v>1</v>
      </c>
      <c r="D37" s="7"/>
      <c r="E37" s="324">
        <v>10</v>
      </c>
      <c r="F37" s="289">
        <v>18.5</v>
      </c>
      <c r="G37" s="81">
        <f t="shared" si="39"/>
        <v>185</v>
      </c>
      <c r="H37" s="29">
        <f t="shared" si="40"/>
        <v>60.495000000000012</v>
      </c>
      <c r="I37" s="81">
        <f t="shared" si="41"/>
        <v>245.495</v>
      </c>
      <c r="J37" s="9" t="s">
        <v>22</v>
      </c>
      <c r="K37" s="245"/>
    </row>
    <row r="38" spans="1:15" x14ac:dyDescent="0.2">
      <c r="A38" s="9"/>
      <c r="B38" s="19" t="s">
        <v>151</v>
      </c>
      <c r="C38" s="188" t="s">
        <v>18</v>
      </c>
      <c r="D38" s="7">
        <v>-30</v>
      </c>
      <c r="E38" s="326">
        <v>10</v>
      </c>
      <c r="F38" s="5">
        <v>17.5</v>
      </c>
      <c r="G38" s="81">
        <f t="shared" ref="G38" si="42">E38*F38</f>
        <v>175</v>
      </c>
      <c r="H38" s="29">
        <f t="shared" si="23"/>
        <v>57.225000000000009</v>
      </c>
      <c r="I38" s="81">
        <f t="shared" si="24"/>
        <v>232.22500000000002</v>
      </c>
      <c r="J38" s="9" t="s">
        <v>22</v>
      </c>
      <c r="K38" s="245"/>
    </row>
    <row r="39" spans="1:15" x14ac:dyDescent="0.2">
      <c r="A39" s="9" t="s">
        <v>14</v>
      </c>
      <c r="B39" s="19" t="s">
        <v>185</v>
      </c>
      <c r="C39" s="93" t="s">
        <v>103</v>
      </c>
      <c r="D39" s="7"/>
      <c r="E39" s="324">
        <v>36</v>
      </c>
      <c r="F39" s="266">
        <v>38.5</v>
      </c>
      <c r="G39" s="81">
        <f>E39*F39+8</f>
        <v>1394</v>
      </c>
      <c r="H39" s="29">
        <f t="shared" ref="H39" si="43">G39*32.7/100</f>
        <v>455.83800000000002</v>
      </c>
      <c r="I39" s="81">
        <f t="shared" ref="I39" si="44">G39+H39</f>
        <v>1849.838</v>
      </c>
      <c r="J39" s="9" t="s">
        <v>22</v>
      </c>
      <c r="K39" s="245"/>
    </row>
    <row r="40" spans="1:15" x14ac:dyDescent="0.2">
      <c r="A40" s="9"/>
      <c r="B40" s="19" t="s">
        <v>186</v>
      </c>
      <c r="C40" s="93" t="s">
        <v>103</v>
      </c>
      <c r="D40" s="7">
        <v>-28.5</v>
      </c>
      <c r="E40" s="324">
        <f>74.5+14</f>
        <v>88.5</v>
      </c>
      <c r="F40" s="5">
        <v>17.5</v>
      </c>
      <c r="G40" s="81">
        <f t="shared" ref="G40" si="45">E40*F40</f>
        <v>1548.75</v>
      </c>
      <c r="H40" s="29">
        <f t="shared" ref="H40" si="46">G40*32.7/100</f>
        <v>506.44125000000008</v>
      </c>
      <c r="I40" s="81">
        <f t="shared" ref="I40" si="47">G40+H40</f>
        <v>2055.1912499999999</v>
      </c>
      <c r="J40" s="9" t="s">
        <v>22</v>
      </c>
      <c r="K40" s="245"/>
    </row>
    <row r="41" spans="1:15" x14ac:dyDescent="0.2">
      <c r="A41" s="9" t="s">
        <v>14</v>
      </c>
      <c r="B41" s="19" t="s">
        <v>187</v>
      </c>
      <c r="C41" s="93" t="s">
        <v>103</v>
      </c>
      <c r="D41" s="7"/>
      <c r="E41" s="324">
        <v>85</v>
      </c>
      <c r="F41" s="5">
        <v>17.5</v>
      </c>
      <c r="G41" s="81">
        <f t="shared" si="0"/>
        <v>1487.5</v>
      </c>
      <c r="H41" s="29">
        <f t="shared" ref="H41:H43" si="48">G41*32.7/100</f>
        <v>486.41250000000008</v>
      </c>
      <c r="I41" s="81">
        <f t="shared" ref="I41:I43" si="49">G41+H41</f>
        <v>1973.9125000000001</v>
      </c>
      <c r="J41" s="9" t="s">
        <v>22</v>
      </c>
      <c r="K41" s="245"/>
    </row>
    <row r="42" spans="1:15" x14ac:dyDescent="0.2">
      <c r="A42" s="9" t="s">
        <v>14</v>
      </c>
      <c r="B42" s="19" t="s">
        <v>192</v>
      </c>
      <c r="C42" s="93" t="s">
        <v>103</v>
      </c>
      <c r="D42" s="7"/>
      <c r="E42" s="324">
        <v>39</v>
      </c>
      <c r="F42" s="5">
        <v>17.5</v>
      </c>
      <c r="G42" s="81">
        <f t="shared" ref="G42" si="50">E42*F42</f>
        <v>682.5</v>
      </c>
      <c r="H42" s="29">
        <f t="shared" ref="H42" si="51">G42*32.7/100</f>
        <v>223.17750000000004</v>
      </c>
      <c r="I42" s="81">
        <f t="shared" ref="I42" si="52">G42+H42</f>
        <v>905.67750000000001</v>
      </c>
      <c r="J42" s="9" t="s">
        <v>22</v>
      </c>
      <c r="K42" s="245"/>
    </row>
    <row r="43" spans="1:15" x14ac:dyDescent="0.2">
      <c r="A43" s="9"/>
      <c r="B43" s="265" t="s">
        <v>140</v>
      </c>
      <c r="C43" s="334" t="s">
        <v>200</v>
      </c>
      <c r="D43" s="333"/>
      <c r="E43" s="324"/>
      <c r="F43" s="164">
        <v>35</v>
      </c>
      <c r="G43" s="154">
        <f>E43*F43</f>
        <v>0</v>
      </c>
      <c r="H43" s="154">
        <f t="shared" si="48"/>
        <v>0</v>
      </c>
      <c r="I43" s="154">
        <f t="shared" si="49"/>
        <v>0</v>
      </c>
      <c r="J43" s="9" t="s">
        <v>22</v>
      </c>
      <c r="K43" s="245"/>
      <c r="M43" s="24">
        <f>SUM(G26:G44)</f>
        <v>10561.25</v>
      </c>
    </row>
    <row r="44" spans="1:15" x14ac:dyDescent="0.2">
      <c r="A44" s="9" t="s">
        <v>14</v>
      </c>
      <c r="B44" s="265" t="s">
        <v>106</v>
      </c>
      <c r="C44" s="93" t="s">
        <v>103</v>
      </c>
      <c r="D44" s="7">
        <v>-2</v>
      </c>
      <c r="E44" s="324">
        <v>66</v>
      </c>
      <c r="F44" s="164">
        <v>38.5</v>
      </c>
      <c r="G44" s="154">
        <f t="shared" ref="G44" si="53">E44*F44</f>
        <v>2541</v>
      </c>
      <c r="H44" s="154">
        <f t="shared" ref="H44:H45" si="54">G44*32.7/100</f>
        <v>830.90700000000015</v>
      </c>
      <c r="I44" s="154">
        <f t="shared" ref="I44" si="55">G44+H44</f>
        <v>3371.9070000000002</v>
      </c>
      <c r="J44" s="9" t="s">
        <v>22</v>
      </c>
      <c r="K44" s="245"/>
    </row>
    <row r="45" spans="1:15" ht="22.5" x14ac:dyDescent="0.2">
      <c r="A45" s="9" t="s">
        <v>14</v>
      </c>
      <c r="B45" s="77" t="s">
        <v>194</v>
      </c>
      <c r="C45" s="93" t="s">
        <v>18</v>
      </c>
      <c r="D45" s="7" t="s">
        <v>13</v>
      </c>
      <c r="E45" s="174">
        <v>152</v>
      </c>
      <c r="F45" s="190"/>
      <c r="G45" s="81"/>
      <c r="H45" s="29">
        <f t="shared" si="54"/>
        <v>0</v>
      </c>
      <c r="I45" s="81">
        <f t="shared" ref="I45" si="56">G45+H45</f>
        <v>0</v>
      </c>
      <c r="J45" s="9" t="s">
        <v>22</v>
      </c>
      <c r="K45" s="245"/>
    </row>
    <row r="46" spans="1:15" x14ac:dyDescent="0.2">
      <c r="A46" s="9"/>
      <c r="B46" s="252" t="s">
        <v>159</v>
      </c>
      <c r="C46" s="189"/>
      <c r="D46" s="181"/>
      <c r="E46" s="206">
        <v>35</v>
      </c>
      <c r="F46" s="207"/>
      <c r="G46" s="328">
        <v>617.82000000000005</v>
      </c>
      <c r="H46" s="256">
        <f t="shared" ref="H46" si="57">G46*32.7/100</f>
        <v>202.02714000000003</v>
      </c>
      <c r="I46" s="256">
        <f t="shared" ref="I46" si="58">G46+H46</f>
        <v>819.84714000000008</v>
      </c>
      <c r="J46" s="9" t="s">
        <v>22</v>
      </c>
      <c r="K46" s="245"/>
    </row>
    <row r="47" spans="1:15" ht="12.75" customHeight="1" x14ac:dyDescent="0.25">
      <c r="A47" s="9"/>
      <c r="B47" s="209" t="s">
        <v>94</v>
      </c>
      <c r="C47" s="210"/>
      <c r="D47" s="201"/>
      <c r="E47" s="215">
        <f>SUM(E5:E46)+E43+E44+E39</f>
        <v>1595.5</v>
      </c>
      <c r="F47" s="211"/>
      <c r="G47" s="212">
        <f>SUM(G5:G46)</f>
        <v>26472.57</v>
      </c>
      <c r="H47" s="212">
        <f>SUM(H5:H46)</f>
        <v>8656.5303899999999</v>
      </c>
      <c r="I47" s="212">
        <f>SUM(I5:I46)</f>
        <v>35129.10039</v>
      </c>
      <c r="J47" s="9" t="s">
        <v>22</v>
      </c>
      <c r="K47" s="245"/>
      <c r="M47" s="273">
        <f>I1-G47</f>
        <v>7715.3924999999945</v>
      </c>
    </row>
    <row r="48" spans="1:15" s="15" customFormat="1" ht="1.5" customHeight="1" x14ac:dyDescent="0.25">
      <c r="A48" s="16"/>
      <c r="B48" s="21"/>
      <c r="C48" s="22"/>
      <c r="D48" s="23"/>
      <c r="E48" s="213"/>
      <c r="F48" s="213"/>
      <c r="G48" s="214"/>
      <c r="H48" s="214"/>
      <c r="I48" s="214"/>
      <c r="K48" s="246"/>
      <c r="L48" s="2"/>
      <c r="M48" s="2"/>
      <c r="N48" s="32"/>
      <c r="O48" s="32"/>
    </row>
    <row r="49" spans="1:15" s="1" customFormat="1" ht="5.25" customHeight="1" thickBot="1" x14ac:dyDescent="0.3">
      <c r="A49" s="135"/>
      <c r="B49" s="135"/>
      <c r="C49" s="17"/>
      <c r="E49" s="315"/>
      <c r="F49" s="316"/>
      <c r="G49" s="316"/>
      <c r="H49" s="316"/>
      <c r="I49" s="317"/>
      <c r="K49" s="135"/>
      <c r="L49" s="2"/>
      <c r="M49" s="2"/>
      <c r="N49" s="32"/>
      <c r="O49" s="32"/>
    </row>
    <row r="50" spans="1:15" ht="20.25" customHeight="1" x14ac:dyDescent="0.2">
      <c r="A50" s="129"/>
      <c r="B50" s="130" t="s">
        <v>0</v>
      </c>
      <c r="C50" s="131" t="s">
        <v>32</v>
      </c>
      <c r="D50" s="131" t="s">
        <v>198</v>
      </c>
      <c r="E50" s="131" t="s">
        <v>2</v>
      </c>
      <c r="F50" s="131" t="s">
        <v>3</v>
      </c>
      <c r="G50" s="132" t="s">
        <v>4</v>
      </c>
      <c r="H50" s="132" t="s">
        <v>5</v>
      </c>
      <c r="I50" s="132" t="s">
        <v>6</v>
      </c>
      <c r="J50" s="133" t="s">
        <v>31</v>
      </c>
      <c r="K50" s="247"/>
    </row>
    <row r="51" spans="1:15" ht="13.5" customHeight="1" x14ac:dyDescent="0.2">
      <c r="A51" s="98" t="s">
        <v>7</v>
      </c>
      <c r="B51" s="20" t="s">
        <v>38</v>
      </c>
      <c r="C51" s="6">
        <v>15</v>
      </c>
      <c r="D51" s="11">
        <v>-1</v>
      </c>
      <c r="E51" s="6">
        <v>134</v>
      </c>
      <c r="F51" s="6">
        <v>13.23</v>
      </c>
      <c r="G51" s="329">
        <f t="shared" ref="G51:G57" si="59">E51*F51</f>
        <v>1772.8200000000002</v>
      </c>
      <c r="H51" s="11">
        <f t="shared" ref="H51:H57" si="60">G51*32.7/100</f>
        <v>579.71214000000009</v>
      </c>
      <c r="I51" s="31">
        <f t="shared" ref="I51:I57" si="61">G51+H51</f>
        <v>2352.5321400000003</v>
      </c>
      <c r="J51" s="126" t="s">
        <v>22</v>
      </c>
      <c r="K51" s="245"/>
    </row>
    <row r="52" spans="1:15" ht="19.5" customHeight="1" x14ac:dyDescent="0.2">
      <c r="A52" s="98" t="s">
        <v>7</v>
      </c>
      <c r="B52" s="26" t="s">
        <v>29</v>
      </c>
      <c r="C52" s="6">
        <v>14</v>
      </c>
      <c r="D52" s="6"/>
      <c r="E52" s="6">
        <v>53</v>
      </c>
      <c r="F52" s="6">
        <v>13.23</v>
      </c>
      <c r="G52" s="329">
        <f t="shared" si="59"/>
        <v>701.19</v>
      </c>
      <c r="H52" s="33">
        <f t="shared" si="60"/>
        <v>229.28913000000003</v>
      </c>
      <c r="I52" s="31">
        <f t="shared" si="61"/>
        <v>930.47913000000005</v>
      </c>
      <c r="J52" s="126" t="s">
        <v>22</v>
      </c>
      <c r="K52" s="167"/>
    </row>
    <row r="53" spans="1:15" ht="19.5" customHeight="1" x14ac:dyDescent="0.2">
      <c r="A53" s="98" t="s">
        <v>7</v>
      </c>
      <c r="B53" s="26" t="s">
        <v>30</v>
      </c>
      <c r="C53" s="6">
        <v>14</v>
      </c>
      <c r="D53" s="6"/>
      <c r="E53" s="6">
        <v>101</v>
      </c>
      <c r="F53" s="6">
        <v>13.23</v>
      </c>
      <c r="G53" s="329">
        <f t="shared" si="59"/>
        <v>1336.23</v>
      </c>
      <c r="H53" s="33">
        <f t="shared" si="60"/>
        <v>436.94721000000004</v>
      </c>
      <c r="I53" s="31">
        <f t="shared" si="61"/>
        <v>1773.1772100000001</v>
      </c>
      <c r="J53" s="126" t="s">
        <v>22</v>
      </c>
      <c r="K53" s="167"/>
    </row>
    <row r="54" spans="1:15" ht="12.75" customHeight="1" x14ac:dyDescent="0.2">
      <c r="A54" s="98" t="s">
        <v>7</v>
      </c>
      <c r="B54" s="26" t="s">
        <v>110</v>
      </c>
      <c r="C54" s="6">
        <v>7</v>
      </c>
      <c r="D54" s="12"/>
      <c r="E54" s="6">
        <v>57</v>
      </c>
      <c r="F54" s="6">
        <v>13.23</v>
      </c>
      <c r="G54" s="329">
        <f>E54*F54</f>
        <v>754.11</v>
      </c>
      <c r="H54" s="33">
        <f t="shared" si="60"/>
        <v>246.59397000000001</v>
      </c>
      <c r="I54" s="31">
        <f>G54+H54</f>
        <v>1000.70397</v>
      </c>
      <c r="J54" s="126" t="s">
        <v>22</v>
      </c>
      <c r="K54" s="167"/>
    </row>
    <row r="55" spans="1:15" ht="12.75" customHeight="1" x14ac:dyDescent="0.2">
      <c r="A55" s="98" t="s">
        <v>7</v>
      </c>
      <c r="B55" s="26" t="s">
        <v>79</v>
      </c>
      <c r="C55" s="6">
        <v>3</v>
      </c>
      <c r="D55" s="12"/>
      <c r="E55" s="6">
        <v>15</v>
      </c>
      <c r="F55" s="6">
        <v>13.23</v>
      </c>
      <c r="G55" s="329">
        <f>E55*F55</f>
        <v>198.45000000000002</v>
      </c>
      <c r="H55" s="33">
        <f t="shared" si="60"/>
        <v>64.89315000000002</v>
      </c>
      <c r="I55" s="31">
        <f>G55+H55</f>
        <v>263.34315000000004</v>
      </c>
      <c r="J55" s="126" t="s">
        <v>22</v>
      </c>
      <c r="K55" s="167"/>
    </row>
    <row r="56" spans="1:15" ht="12.75" customHeight="1" x14ac:dyDescent="0.2">
      <c r="A56" s="98" t="s">
        <v>7</v>
      </c>
      <c r="B56" s="26" t="s">
        <v>99</v>
      </c>
      <c r="C56" s="6">
        <v>3</v>
      </c>
      <c r="D56" s="12"/>
      <c r="E56" s="6">
        <v>53</v>
      </c>
      <c r="F56" s="6">
        <v>13.23</v>
      </c>
      <c r="G56" s="329">
        <f>E56*F56</f>
        <v>701.19</v>
      </c>
      <c r="H56" s="33">
        <f t="shared" si="60"/>
        <v>229.28913000000003</v>
      </c>
      <c r="I56" s="31">
        <f>G56+H56</f>
        <v>930.47913000000005</v>
      </c>
      <c r="J56" s="126"/>
      <c r="K56" s="167"/>
    </row>
    <row r="57" spans="1:15" ht="28.5" customHeight="1" x14ac:dyDescent="0.2">
      <c r="A57" s="98" t="s">
        <v>7</v>
      </c>
      <c r="B57" s="26" t="s">
        <v>116</v>
      </c>
      <c r="C57" s="6">
        <v>12</v>
      </c>
      <c r="D57" s="12">
        <v>-3</v>
      </c>
      <c r="E57" s="6">
        <v>53</v>
      </c>
      <c r="F57" s="6">
        <v>13.23</v>
      </c>
      <c r="G57" s="329">
        <f t="shared" si="59"/>
        <v>701.19</v>
      </c>
      <c r="H57" s="33">
        <f t="shared" si="60"/>
        <v>229.28913000000003</v>
      </c>
      <c r="I57" s="31">
        <f t="shared" si="61"/>
        <v>930.47913000000005</v>
      </c>
      <c r="J57" s="126" t="s">
        <v>22</v>
      </c>
      <c r="K57" s="167"/>
    </row>
    <row r="58" spans="1:15" ht="18" customHeight="1" x14ac:dyDescent="0.2">
      <c r="A58" s="98" t="s">
        <v>7</v>
      </c>
      <c r="B58" s="26" t="s">
        <v>149</v>
      </c>
      <c r="C58" s="6">
        <v>3</v>
      </c>
      <c r="D58" s="12"/>
      <c r="E58" s="6">
        <v>42</v>
      </c>
      <c r="F58" s="6">
        <v>13.23</v>
      </c>
      <c r="G58" s="329">
        <f t="shared" ref="G58" si="62">E58*F58</f>
        <v>555.66</v>
      </c>
      <c r="H58" s="33">
        <f t="shared" ref="H58" si="63">G58*32.7/100</f>
        <v>181.70082000000002</v>
      </c>
      <c r="I58" s="31">
        <f t="shared" ref="I58" si="64">G58+H58</f>
        <v>737.36081999999999</v>
      </c>
      <c r="J58" s="126" t="s">
        <v>22</v>
      </c>
      <c r="K58" s="167"/>
    </row>
    <row r="59" spans="1:15" ht="12" customHeight="1" x14ac:dyDescent="0.2">
      <c r="A59" s="98" t="s">
        <v>7</v>
      </c>
      <c r="B59" s="26" t="s">
        <v>160</v>
      </c>
      <c r="C59" s="6"/>
      <c r="D59" s="12"/>
      <c r="E59" s="6"/>
      <c r="F59" s="6"/>
      <c r="G59" s="329">
        <v>82.73</v>
      </c>
      <c r="H59" s="33">
        <f t="shared" ref="H59" si="65">G59*32.7/100</f>
        <v>27.052710000000001</v>
      </c>
      <c r="I59" s="31">
        <f t="shared" ref="I59" si="66">G59+H59</f>
        <v>109.78271000000001</v>
      </c>
      <c r="J59" s="126" t="s">
        <v>22</v>
      </c>
      <c r="K59" s="167"/>
    </row>
    <row r="60" spans="1:15" ht="13.5" thickBot="1" x14ac:dyDescent="0.25">
      <c r="A60" s="99"/>
      <c r="B60" s="134"/>
      <c r="C60" s="194" t="s">
        <v>9</v>
      </c>
      <c r="D60" s="291"/>
      <c r="E60" s="194">
        <f>SUM(E51:E59)</f>
        <v>508</v>
      </c>
      <c r="F60" s="194"/>
      <c r="G60" s="331">
        <f>SUM(G51:G59)</f>
        <v>6803.57</v>
      </c>
      <c r="H60" s="195">
        <f>SUM(H51:H59)</f>
        <v>2224.76739</v>
      </c>
      <c r="I60" s="195">
        <f>SUM(I51:I59)</f>
        <v>9028.3373900000006</v>
      </c>
      <c r="J60" s="110" t="s">
        <v>22</v>
      </c>
      <c r="K60" s="167"/>
    </row>
    <row r="61" spans="1:15" ht="12" customHeight="1" x14ac:dyDescent="0.2">
      <c r="A61" s="94" t="s">
        <v>8</v>
      </c>
      <c r="B61" s="144" t="s">
        <v>37</v>
      </c>
      <c r="C61" s="119">
        <v>3</v>
      </c>
      <c r="D61" s="12" t="s">
        <v>12</v>
      </c>
      <c r="E61" s="119">
        <v>90</v>
      </c>
      <c r="F61" s="280">
        <v>15.34</v>
      </c>
      <c r="G61" s="330">
        <f>E61*F61</f>
        <v>1380.6</v>
      </c>
      <c r="H61" s="97">
        <f t="shared" ref="H61:H65" si="67">G61*32.7/100</f>
        <v>451.45620000000002</v>
      </c>
      <c r="I61" s="97">
        <f t="shared" ref="I61:I65" si="68">G61+H61</f>
        <v>1832.0562</v>
      </c>
      <c r="J61" s="125" t="s">
        <v>22</v>
      </c>
      <c r="K61" s="167"/>
    </row>
    <row r="62" spans="1:15" ht="12" customHeight="1" x14ac:dyDescent="0.2">
      <c r="A62" s="98" t="s">
        <v>8</v>
      </c>
      <c r="B62" s="10" t="s">
        <v>38</v>
      </c>
      <c r="C62" s="6">
        <v>3</v>
      </c>
      <c r="D62" s="12" t="s">
        <v>12</v>
      </c>
      <c r="E62" s="6">
        <v>21</v>
      </c>
      <c r="F62" s="6">
        <v>15.34</v>
      </c>
      <c r="G62" s="329">
        <f t="shared" ref="G62:G65" si="69">E62*F62</f>
        <v>322.14</v>
      </c>
      <c r="H62" s="33">
        <f t="shared" si="67"/>
        <v>105.33978</v>
      </c>
      <c r="I62" s="33">
        <f t="shared" si="68"/>
        <v>427.47978000000001</v>
      </c>
      <c r="J62" s="126" t="s">
        <v>22</v>
      </c>
      <c r="K62" s="167"/>
    </row>
    <row r="63" spans="1:15" ht="12" customHeight="1" x14ac:dyDescent="0.2">
      <c r="A63" s="98" t="s">
        <v>8</v>
      </c>
      <c r="B63" s="10" t="s">
        <v>25</v>
      </c>
      <c r="C63" s="6">
        <v>1</v>
      </c>
      <c r="D63" s="12" t="s">
        <v>12</v>
      </c>
      <c r="E63" s="6">
        <v>5</v>
      </c>
      <c r="F63" s="6">
        <v>15.34</v>
      </c>
      <c r="G63" s="329">
        <f t="shared" si="69"/>
        <v>76.7</v>
      </c>
      <c r="H63" s="33">
        <f t="shared" si="67"/>
        <v>25.0809</v>
      </c>
      <c r="I63" s="33">
        <f t="shared" si="68"/>
        <v>101.7809</v>
      </c>
      <c r="J63" s="126" t="s">
        <v>22</v>
      </c>
      <c r="K63" s="167"/>
    </row>
    <row r="64" spans="1:15" ht="12" customHeight="1" x14ac:dyDescent="0.2">
      <c r="A64" s="98" t="s">
        <v>8</v>
      </c>
      <c r="B64" s="59" t="s">
        <v>100</v>
      </c>
      <c r="C64" s="6">
        <v>3</v>
      </c>
      <c r="D64" s="12" t="s">
        <v>12</v>
      </c>
      <c r="E64" s="6">
        <v>9</v>
      </c>
      <c r="F64" s="6">
        <v>15.34</v>
      </c>
      <c r="G64" s="329">
        <f t="shared" si="69"/>
        <v>138.06</v>
      </c>
      <c r="H64" s="33">
        <f t="shared" si="67"/>
        <v>45.145620000000008</v>
      </c>
      <c r="I64" s="33">
        <f t="shared" si="68"/>
        <v>183.20562000000001</v>
      </c>
      <c r="J64" s="126" t="s">
        <v>22</v>
      </c>
      <c r="K64" s="167"/>
    </row>
    <row r="65" spans="1:15" ht="12" customHeight="1" x14ac:dyDescent="0.2">
      <c r="A65" s="98" t="s">
        <v>8</v>
      </c>
      <c r="B65" s="26" t="s">
        <v>123</v>
      </c>
      <c r="C65" s="6">
        <v>3</v>
      </c>
      <c r="D65" s="12" t="s">
        <v>12</v>
      </c>
      <c r="E65" s="6">
        <v>20</v>
      </c>
      <c r="F65" s="6">
        <v>15.34</v>
      </c>
      <c r="G65" s="329">
        <f t="shared" si="69"/>
        <v>306.8</v>
      </c>
      <c r="H65" s="33">
        <f t="shared" si="67"/>
        <v>100.3236</v>
      </c>
      <c r="I65" s="33">
        <f t="shared" si="68"/>
        <v>407.12360000000001</v>
      </c>
      <c r="J65" s="126" t="s">
        <v>22</v>
      </c>
      <c r="K65" s="167"/>
    </row>
    <row r="66" spans="1:15" ht="12" customHeight="1" x14ac:dyDescent="0.2">
      <c r="A66" s="98" t="s">
        <v>8</v>
      </c>
      <c r="B66" s="26" t="s">
        <v>62</v>
      </c>
      <c r="C66" s="6">
        <v>1</v>
      </c>
      <c r="D66" s="12" t="s">
        <v>12</v>
      </c>
      <c r="E66" s="6">
        <v>15</v>
      </c>
      <c r="F66" s="6">
        <v>15.34</v>
      </c>
      <c r="G66" s="329">
        <f t="shared" ref="G66" si="70">E66*F66</f>
        <v>230.1</v>
      </c>
      <c r="H66" s="33">
        <f t="shared" ref="H66" si="71">G66*32.7/100</f>
        <v>75.242699999999999</v>
      </c>
      <c r="I66" s="33">
        <f t="shared" ref="I66" si="72">G66+H66</f>
        <v>305.34269999999998</v>
      </c>
      <c r="J66" s="126" t="s">
        <v>22</v>
      </c>
      <c r="K66" s="167"/>
    </row>
    <row r="67" spans="1:15" ht="12" customHeight="1" x14ac:dyDescent="0.2">
      <c r="A67" s="98" t="s">
        <v>8</v>
      </c>
      <c r="B67" s="26" t="s">
        <v>124</v>
      </c>
      <c r="C67" s="6">
        <v>1</v>
      </c>
      <c r="D67" s="12" t="s">
        <v>12</v>
      </c>
      <c r="E67" s="6">
        <v>10</v>
      </c>
      <c r="F67" s="6">
        <v>15.34</v>
      </c>
      <c r="G67" s="329">
        <f t="shared" ref="G67" si="73">E67*F67</f>
        <v>153.4</v>
      </c>
      <c r="H67" s="33">
        <f t="shared" ref="H67" si="74">G67*32.7/100</f>
        <v>50.161799999999999</v>
      </c>
      <c r="I67" s="33">
        <f t="shared" ref="I67" si="75">G67+H67</f>
        <v>203.56180000000001</v>
      </c>
      <c r="J67" s="126" t="s">
        <v>22</v>
      </c>
      <c r="K67" s="167"/>
    </row>
    <row r="68" spans="1:15" ht="12" customHeight="1" x14ac:dyDescent="0.2">
      <c r="A68" s="98" t="s">
        <v>153</v>
      </c>
      <c r="B68" s="177" t="s">
        <v>154</v>
      </c>
      <c r="C68" s="6">
        <v>1</v>
      </c>
      <c r="D68" s="12" t="s">
        <v>12</v>
      </c>
      <c r="E68" s="6">
        <v>10</v>
      </c>
      <c r="F68" s="6">
        <v>15.34</v>
      </c>
      <c r="G68" s="329">
        <f t="shared" ref="G68" si="76">E68*F68</f>
        <v>153.4</v>
      </c>
      <c r="H68" s="33">
        <f t="shared" ref="H68" si="77">G68*32.7/100</f>
        <v>50.161799999999999</v>
      </c>
      <c r="I68" s="33">
        <f t="shared" ref="I68" si="78">G68+H68</f>
        <v>203.56180000000001</v>
      </c>
      <c r="J68" s="126" t="s">
        <v>22</v>
      </c>
      <c r="K68" s="167"/>
    </row>
    <row r="69" spans="1:15" ht="12" customHeight="1" x14ac:dyDescent="0.2">
      <c r="A69" s="98" t="s">
        <v>8</v>
      </c>
      <c r="B69" s="26" t="s">
        <v>160</v>
      </c>
      <c r="C69" s="272"/>
      <c r="D69" s="175"/>
      <c r="E69" s="272"/>
      <c r="F69" s="272"/>
      <c r="G69" s="329">
        <v>1200</v>
      </c>
      <c r="H69" s="33">
        <f t="shared" ref="H69" si="79">G69*32.7/100</f>
        <v>392.4</v>
      </c>
      <c r="I69" s="33">
        <f t="shared" ref="I69" si="80">G69+H69</f>
        <v>1592.4</v>
      </c>
      <c r="J69" s="126" t="s">
        <v>22</v>
      </c>
      <c r="K69" s="167"/>
    </row>
    <row r="70" spans="1:15" ht="15" customHeight="1" thickBot="1" x14ac:dyDescent="0.25">
      <c r="A70" s="127"/>
      <c r="B70" s="128"/>
      <c r="C70" s="194" t="s">
        <v>9</v>
      </c>
      <c r="D70" s="194"/>
      <c r="E70" s="194">
        <f>SUM(E61:E68)</f>
        <v>180</v>
      </c>
      <c r="F70" s="194"/>
      <c r="G70" s="331">
        <f>SUM(G61:G69)</f>
        <v>3961.2</v>
      </c>
      <c r="H70" s="195">
        <f>SUM(H61:H69)</f>
        <v>1295.3123999999998</v>
      </c>
      <c r="I70" s="195">
        <f>SUM(I61:I69)</f>
        <v>5256.5124000000005</v>
      </c>
      <c r="J70" s="126" t="s">
        <v>22</v>
      </c>
      <c r="K70" s="167"/>
    </row>
    <row r="71" spans="1:15" ht="21.75" customHeight="1" thickBot="1" x14ac:dyDescent="0.25">
      <c r="A71" s="9" t="s">
        <v>16</v>
      </c>
      <c r="B71" s="77" t="s">
        <v>181</v>
      </c>
      <c r="C71" s="77"/>
      <c r="D71" s="274"/>
      <c r="E71" s="194"/>
      <c r="F71" s="194"/>
      <c r="G71" s="195"/>
      <c r="H71" s="195">
        <f t="shared" ref="H71" si="81">G71*32.7/100</f>
        <v>0</v>
      </c>
      <c r="I71" s="195">
        <f t="shared" ref="I71" si="82">G71+H71</f>
        <v>0</v>
      </c>
      <c r="J71" s="126"/>
      <c r="K71" s="167"/>
    </row>
    <row r="72" spans="1:15" ht="16.5" customHeight="1" thickBot="1" x14ac:dyDescent="0.25">
      <c r="A72" s="99"/>
      <c r="B72" s="109"/>
      <c r="C72" s="191" t="s">
        <v>10</v>
      </c>
      <c r="D72" s="192"/>
      <c r="E72" s="191">
        <f>E60+E70</f>
        <v>688</v>
      </c>
      <c r="F72" s="191">
        <f>F60+F70</f>
        <v>0</v>
      </c>
      <c r="G72" s="193">
        <f>G60+G70+G71</f>
        <v>10764.77</v>
      </c>
      <c r="H72" s="193">
        <f t="shared" ref="H72:I72" si="83">H60+H70+H71</f>
        <v>3520.0797899999998</v>
      </c>
      <c r="I72" s="193">
        <f t="shared" si="83"/>
        <v>14284.84979</v>
      </c>
      <c r="J72" s="126" t="s">
        <v>22</v>
      </c>
      <c r="K72" s="167"/>
      <c r="M72" s="273"/>
    </row>
    <row r="73" spans="1:15" ht="18.75" customHeight="1" thickBot="1" x14ac:dyDescent="0.3">
      <c r="A73" s="99"/>
      <c r="B73" s="182"/>
      <c r="C73" s="183"/>
      <c r="D73" s="179"/>
      <c r="E73" s="178"/>
      <c r="F73" s="180" t="s">
        <v>111</v>
      </c>
      <c r="G73" s="184">
        <f>G47+G72</f>
        <v>37237.339999999997</v>
      </c>
      <c r="H73" s="184">
        <f>H47+H72</f>
        <v>12176.61018</v>
      </c>
      <c r="I73" s="184">
        <f>I47+I72</f>
        <v>49413.95018</v>
      </c>
      <c r="J73" s="124"/>
      <c r="K73" s="167"/>
    </row>
    <row r="74" spans="1:15" ht="13.5" customHeight="1" x14ac:dyDescent="0.2">
      <c r="A74" s="94" t="s">
        <v>19</v>
      </c>
      <c r="B74" s="177" t="s">
        <v>26</v>
      </c>
      <c r="C74" s="119"/>
      <c r="D74" s="120"/>
      <c r="E74" s="119"/>
      <c r="F74" s="119"/>
      <c r="G74" s="330">
        <v>2880</v>
      </c>
      <c r="H74" s="97">
        <f>G74*32.7/100</f>
        <v>941.7600000000001</v>
      </c>
      <c r="I74" s="97">
        <f>G74+H74</f>
        <v>3821.76</v>
      </c>
      <c r="J74" s="121" t="s">
        <v>22</v>
      </c>
      <c r="K74" s="167"/>
    </row>
    <row r="75" spans="1:15" ht="13.5" customHeight="1" x14ac:dyDescent="0.2">
      <c r="A75" s="98" t="s">
        <v>8</v>
      </c>
      <c r="B75" s="177" t="s">
        <v>27</v>
      </c>
      <c r="C75" s="6">
        <v>1</v>
      </c>
      <c r="D75" s="12" t="s">
        <v>28</v>
      </c>
      <c r="E75" s="6"/>
      <c r="F75" s="6"/>
      <c r="G75" s="329">
        <v>325.2</v>
      </c>
      <c r="H75" s="33">
        <f t="shared" ref="H75" si="84">G75*32.7/100</f>
        <v>106.3404</v>
      </c>
      <c r="I75" s="33">
        <f t="shared" ref="I75" si="85">G75+H75</f>
        <v>431.54039999999998</v>
      </c>
      <c r="J75" s="108" t="s">
        <v>22</v>
      </c>
      <c r="K75" s="167"/>
      <c r="M75" s="24"/>
    </row>
    <row r="76" spans="1:15" ht="12" customHeight="1" thickBot="1" x14ac:dyDescent="0.25">
      <c r="A76" s="68"/>
      <c r="B76" s="122"/>
      <c r="C76" s="100" t="s">
        <v>9</v>
      </c>
      <c r="D76" s="123"/>
      <c r="E76" s="101"/>
      <c r="F76" s="101"/>
      <c r="G76" s="102">
        <f>SUM(G74:G75)</f>
        <v>3205.2</v>
      </c>
      <c r="H76" s="69">
        <f>SUM(H74:H75)</f>
        <v>1048.1004</v>
      </c>
      <c r="I76" s="69">
        <f>SUM(I74:I75)</f>
        <v>4253.3004000000001</v>
      </c>
      <c r="J76" s="124"/>
      <c r="K76" s="167"/>
      <c r="M76" s="24"/>
    </row>
    <row r="77" spans="1:15" ht="15" customHeight="1" thickBot="1" x14ac:dyDescent="0.35">
      <c r="A77" s="68"/>
      <c r="B77" s="257"/>
      <c r="C77" s="258"/>
      <c r="D77" s="259"/>
      <c r="E77" s="260"/>
      <c r="F77" s="261" t="s">
        <v>112</v>
      </c>
      <c r="G77" s="262">
        <f>G73+G76</f>
        <v>40442.539999999994</v>
      </c>
      <c r="H77" s="262">
        <f t="shared" ref="H77:I77" si="86">H73+H76</f>
        <v>13224.710579999999</v>
      </c>
      <c r="I77" s="262">
        <f t="shared" si="86"/>
        <v>53667.25058</v>
      </c>
      <c r="J77" s="124"/>
      <c r="K77" s="167"/>
    </row>
    <row r="78" spans="1:15" ht="9.75" customHeight="1" thickBot="1" x14ac:dyDescent="0.25"/>
    <row r="79" spans="1:15" s="27" customFormat="1" ht="27" customHeight="1" thickBot="1" x14ac:dyDescent="0.25">
      <c r="A79" s="103"/>
      <c r="B79" s="104" t="s">
        <v>0</v>
      </c>
      <c r="C79" s="105" t="s">
        <v>33</v>
      </c>
      <c r="D79" s="104"/>
      <c r="E79" s="104" t="s">
        <v>34</v>
      </c>
      <c r="F79" s="104" t="s">
        <v>36</v>
      </c>
      <c r="G79" s="106" t="s">
        <v>4</v>
      </c>
      <c r="H79" s="106" t="s">
        <v>5</v>
      </c>
      <c r="I79" s="106" t="s">
        <v>6</v>
      </c>
      <c r="J79" s="107"/>
      <c r="K79" s="169"/>
      <c r="N79" s="34"/>
      <c r="O79" s="34"/>
    </row>
    <row r="80" spans="1:15" ht="21.75" customHeight="1" thickBot="1" x14ac:dyDescent="0.25">
      <c r="A80" s="67" t="s">
        <v>14</v>
      </c>
      <c r="B80" s="238" t="s">
        <v>158</v>
      </c>
      <c r="C80" s="208"/>
      <c r="D80" s="208" t="s">
        <v>129</v>
      </c>
      <c r="E80" s="271">
        <v>7</v>
      </c>
      <c r="F80" s="208"/>
      <c r="G80" s="328">
        <v>2982.18</v>
      </c>
      <c r="H80" s="208">
        <f>G80*32.7/100</f>
        <v>975.17286000000013</v>
      </c>
      <c r="I80" s="208">
        <f>G80+H80</f>
        <v>3957.35286</v>
      </c>
      <c r="J80" s="108" t="s">
        <v>22</v>
      </c>
      <c r="K80" s="167"/>
    </row>
    <row r="81" spans="1:15" ht="15.75" customHeight="1" thickBot="1" x14ac:dyDescent="0.25">
      <c r="A81" s="226"/>
      <c r="B81" s="228"/>
      <c r="C81" s="229"/>
      <c r="D81" s="230"/>
      <c r="E81" s="231"/>
      <c r="F81" s="231"/>
      <c r="G81" s="232"/>
      <c r="H81" s="232"/>
      <c r="I81" s="233"/>
      <c r="J81" s="234"/>
      <c r="K81" s="167"/>
    </row>
    <row r="82" spans="1:15" ht="21" customHeight="1" x14ac:dyDescent="0.2">
      <c r="A82" s="227"/>
      <c r="B82" s="104" t="s">
        <v>0</v>
      </c>
      <c r="C82" s="105" t="s">
        <v>33</v>
      </c>
      <c r="D82" s="104"/>
      <c r="E82" s="104" t="s">
        <v>34</v>
      </c>
      <c r="F82" s="104" t="s">
        <v>36</v>
      </c>
      <c r="G82" s="106" t="s">
        <v>4</v>
      </c>
      <c r="H82" s="106" t="s">
        <v>5</v>
      </c>
      <c r="I82" s="106" t="s">
        <v>6</v>
      </c>
      <c r="J82" s="108"/>
      <c r="K82" s="167"/>
    </row>
    <row r="83" spans="1:15" ht="15.75" customHeight="1" x14ac:dyDescent="0.2">
      <c r="A83" s="145" t="s">
        <v>16</v>
      </c>
      <c r="B83" s="216" t="s">
        <v>162</v>
      </c>
      <c r="C83" s="217" t="s">
        <v>17</v>
      </c>
      <c r="D83" s="218"/>
      <c r="E83" s="219">
        <v>2</v>
      </c>
      <c r="F83" s="219"/>
      <c r="G83" s="329">
        <v>1200</v>
      </c>
      <c r="H83" s="220">
        <f>G83*32.7/100</f>
        <v>392.4</v>
      </c>
      <c r="I83" s="221">
        <f>G83+H83</f>
        <v>1592.4</v>
      </c>
      <c r="J83" s="108" t="s">
        <v>22</v>
      </c>
      <c r="K83" s="167"/>
    </row>
    <row r="84" spans="1:15" ht="15.75" customHeight="1" x14ac:dyDescent="0.2">
      <c r="A84" s="145" t="s">
        <v>16</v>
      </c>
      <c r="B84" s="216" t="s">
        <v>163</v>
      </c>
      <c r="C84" s="217" t="s">
        <v>82</v>
      </c>
      <c r="D84" s="218"/>
      <c r="E84" s="219">
        <v>2</v>
      </c>
      <c r="F84" s="219"/>
      <c r="G84" s="329">
        <v>617.27</v>
      </c>
      <c r="H84" s="220">
        <f>G84*32.7/100</f>
        <v>201.84728999999999</v>
      </c>
      <c r="I84" s="221">
        <f>G84+H84</f>
        <v>819.11728999999991</v>
      </c>
      <c r="J84" s="108" t="s">
        <v>22</v>
      </c>
      <c r="K84" s="167"/>
    </row>
    <row r="85" spans="1:15" ht="15.75" customHeight="1" thickBot="1" x14ac:dyDescent="0.25">
      <c r="A85" s="146"/>
      <c r="B85" s="225" t="s">
        <v>114</v>
      </c>
      <c r="C85" s="222"/>
      <c r="D85" s="223"/>
      <c r="E85" s="222"/>
      <c r="F85" s="222"/>
      <c r="G85" s="332">
        <f>SUM(G83:G84)</f>
        <v>1817.27</v>
      </c>
      <c r="H85" s="224">
        <f t="shared" ref="H85:I85" si="87">SUM(H83:H84)</f>
        <v>594.24729000000002</v>
      </c>
      <c r="I85" s="224">
        <f t="shared" si="87"/>
        <v>2411.5172899999998</v>
      </c>
      <c r="J85" s="108" t="s">
        <v>22</v>
      </c>
      <c r="K85" s="167"/>
    </row>
    <row r="86" spans="1:15" ht="16.5" customHeight="1" x14ac:dyDescent="0.2">
      <c r="A86" s="185" t="s">
        <v>113</v>
      </c>
      <c r="B86" s="111"/>
      <c r="C86" s="95"/>
      <c r="D86" s="96"/>
      <c r="E86" s="95"/>
      <c r="F86" s="95"/>
      <c r="G86" s="112"/>
      <c r="H86" s="112"/>
      <c r="I86" s="112"/>
      <c r="J86" s="116"/>
      <c r="K86" s="167"/>
    </row>
    <row r="87" spans="1:15" s="13" customFormat="1" ht="20.25" customHeight="1" x14ac:dyDescent="0.2">
      <c r="A87" s="113"/>
      <c r="B87" s="28" t="s">
        <v>0</v>
      </c>
      <c r="C87" s="14" t="s">
        <v>1</v>
      </c>
      <c r="D87" s="14" t="s">
        <v>199</v>
      </c>
      <c r="E87" s="14"/>
      <c r="F87" s="14"/>
      <c r="G87" s="30" t="s">
        <v>4</v>
      </c>
      <c r="H87" s="30" t="s">
        <v>5</v>
      </c>
      <c r="I87" s="30" t="s">
        <v>6</v>
      </c>
      <c r="J87" s="117"/>
      <c r="K87" s="170"/>
      <c r="N87" s="73"/>
      <c r="O87" s="73"/>
    </row>
    <row r="88" spans="1:15" ht="17.25" customHeight="1" x14ac:dyDescent="0.2">
      <c r="A88" s="98" t="s">
        <v>14</v>
      </c>
      <c r="B88" s="19" t="s">
        <v>20</v>
      </c>
      <c r="C88" s="4" t="s">
        <v>24</v>
      </c>
      <c r="D88" s="7"/>
      <c r="E88" s="25"/>
      <c r="F88" s="5"/>
      <c r="G88" s="327">
        <v>907.68</v>
      </c>
      <c r="H88" s="29">
        <f>G88*32.7/100</f>
        <v>296.81136000000004</v>
      </c>
      <c r="I88" s="29">
        <f>G88+H88+0.02</f>
        <v>1204.51136</v>
      </c>
      <c r="J88" s="118" t="s">
        <v>22</v>
      </c>
      <c r="K88" s="168"/>
      <c r="M88" s="24"/>
    </row>
    <row r="89" spans="1:15" ht="17.25" customHeight="1" x14ac:dyDescent="0.2">
      <c r="A89" s="98" t="s">
        <v>14</v>
      </c>
      <c r="B89" s="19" t="s">
        <v>21</v>
      </c>
      <c r="C89" s="4">
        <v>1</v>
      </c>
      <c r="D89" s="7"/>
      <c r="E89" s="4"/>
      <c r="F89" s="5"/>
      <c r="G89" s="327">
        <v>384.6</v>
      </c>
      <c r="H89" s="29">
        <f>G89*32.7/100</f>
        <v>125.76420000000002</v>
      </c>
      <c r="I89" s="29">
        <f>G89+H89</f>
        <v>510.36420000000004</v>
      </c>
      <c r="J89" s="118" t="s">
        <v>22</v>
      </c>
      <c r="K89" s="168"/>
    </row>
    <row r="90" spans="1:15" ht="17.25" customHeight="1" x14ac:dyDescent="0.2">
      <c r="A90" s="98" t="s">
        <v>14</v>
      </c>
      <c r="B90" s="19" t="s">
        <v>152</v>
      </c>
      <c r="C90" s="4" t="s">
        <v>24</v>
      </c>
      <c r="D90" s="4">
        <v>-88.31</v>
      </c>
      <c r="F90" s="5"/>
      <c r="G90" s="327">
        <v>700</v>
      </c>
      <c r="H90" s="29">
        <f>G90*32.7/100</f>
        <v>228.90000000000003</v>
      </c>
      <c r="I90" s="29">
        <f>G90+H90</f>
        <v>928.90000000000009</v>
      </c>
      <c r="J90" s="118" t="s">
        <v>22</v>
      </c>
      <c r="K90" s="168"/>
    </row>
    <row r="91" spans="1:15" ht="12" customHeight="1" x14ac:dyDescent="0.2">
      <c r="A91" s="9" t="s">
        <v>14</v>
      </c>
      <c r="B91" s="28" t="s">
        <v>168</v>
      </c>
      <c r="C91" s="4"/>
      <c r="D91" s="197"/>
      <c r="E91" s="198"/>
      <c r="F91" s="199"/>
      <c r="G91" s="200"/>
      <c r="H91" s="200"/>
      <c r="I91" s="200"/>
      <c r="J91" s="118"/>
      <c r="K91" s="168"/>
    </row>
    <row r="92" spans="1:15" s="27" customFormat="1" ht="12" customHeight="1" thickBot="1" x14ac:dyDescent="0.25">
      <c r="A92" s="114"/>
      <c r="B92" s="109"/>
      <c r="C92" s="115"/>
      <c r="D92" s="202" t="s">
        <v>23</v>
      </c>
      <c r="E92" s="203"/>
      <c r="F92" s="204"/>
      <c r="G92" s="205">
        <f>SUM(G88:G91)</f>
        <v>1992.28</v>
      </c>
      <c r="H92" s="205">
        <f>SUM(H88:H89)+H90</f>
        <v>651.47556000000009</v>
      </c>
      <c r="I92" s="205">
        <f>SUM(I88:I91)</f>
        <v>2643.77556</v>
      </c>
      <c r="J92" s="196"/>
      <c r="K92" s="169"/>
      <c r="N92" s="34"/>
      <c r="O92" s="34"/>
    </row>
    <row r="93" spans="1:15" s="27" customFormat="1" ht="15.75" customHeight="1" thickBot="1" x14ac:dyDescent="0.3">
      <c r="A93" s="186"/>
      <c r="B93" s="318" t="s">
        <v>78</v>
      </c>
      <c r="C93" s="318"/>
      <c r="D93" s="318"/>
      <c r="E93" s="318"/>
      <c r="F93" s="318"/>
      <c r="G93" s="263">
        <f>G77+G85+G92+G80</f>
        <v>47234.26999999999</v>
      </c>
      <c r="H93" s="263">
        <f>H77+H85+H92+H80</f>
        <v>15445.60629</v>
      </c>
      <c r="I93" s="263">
        <f>I77+I85+I92+I80</f>
        <v>62679.896289999997</v>
      </c>
      <c r="J93" s="196"/>
      <c r="N93" s="34"/>
      <c r="O93" s="34"/>
    </row>
    <row r="94" spans="1:15" ht="2.25" customHeight="1" x14ac:dyDescent="0.2">
      <c r="G94" s="34"/>
      <c r="H94" s="34"/>
      <c r="I94" s="34"/>
    </row>
    <row r="95" spans="1:15" x14ac:dyDescent="0.2">
      <c r="C95" s="8"/>
      <c r="E95" s="309" t="s">
        <v>141</v>
      </c>
      <c r="F95" s="309"/>
      <c r="G95" s="267">
        <f>57675.43-G93</f>
        <v>10441.160000000011</v>
      </c>
    </row>
    <row r="96" spans="1:15" x14ac:dyDescent="0.2">
      <c r="B96" s="278" t="s">
        <v>178</v>
      </c>
      <c r="C96" s="2"/>
      <c r="D96" s="2"/>
      <c r="E96" s="2"/>
      <c r="F96" s="2"/>
      <c r="G96" s="267">
        <f>G45+G71</f>
        <v>0</v>
      </c>
    </row>
  </sheetData>
  <mergeCells count="6">
    <mergeCell ref="K5:K11"/>
    <mergeCell ref="E95:F95"/>
    <mergeCell ref="B1:B2"/>
    <mergeCell ref="C3:E3"/>
    <mergeCell ref="E49:I49"/>
    <mergeCell ref="B93:F93"/>
  </mergeCells>
  <phoneticPr fontId="0" type="noConversion"/>
  <printOptions horizontalCentered="1"/>
  <pageMargins left="0" right="0" top="0" bottom="0" header="0.31496062992125984" footer="0.31496062992125984"/>
  <pageSetup paperSize="8"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topLeftCell="A67" workbookViewId="0">
      <selection activeCell="G95" sqref="G95"/>
    </sheetView>
  </sheetViews>
  <sheetFormatPr defaultRowHeight="12.75" x14ac:dyDescent="0.2"/>
  <cols>
    <col min="1" max="1" width="7.28515625" style="2" customWidth="1"/>
    <col min="2" max="2" width="49.42578125" style="18" customWidth="1"/>
    <col min="3" max="3" width="11" style="3" customWidth="1"/>
    <col min="4" max="4" width="9.140625" style="8" customWidth="1"/>
    <col min="5" max="5" width="9.28515625" style="3" customWidth="1"/>
    <col min="6" max="6" width="11.7109375" style="3" customWidth="1"/>
    <col min="7" max="7" width="13.42578125" style="32" customWidth="1"/>
    <col min="8" max="8" width="10.85546875" style="32" customWidth="1"/>
    <col min="9" max="9" width="12" style="32" customWidth="1"/>
    <col min="10" max="10" width="7.85546875" style="2" customWidth="1"/>
    <col min="11" max="11" width="5.42578125" style="2" customWidth="1"/>
    <col min="12" max="12" width="6.85546875" style="2" customWidth="1"/>
    <col min="13" max="13" width="22.5703125" style="2" customWidth="1"/>
    <col min="14" max="14" width="13.5703125" style="32" customWidth="1"/>
    <col min="15" max="15" width="12.140625" style="32" customWidth="1"/>
    <col min="16" max="16" width="10" style="2" bestFit="1" customWidth="1"/>
    <col min="17" max="18" width="7.5703125" style="2" customWidth="1"/>
    <col min="19" max="19" width="8.7109375" style="2" customWidth="1"/>
    <col min="20" max="16384" width="9.140625" style="2"/>
  </cols>
  <sheetData>
    <row r="1" spans="1:20" ht="12.75" customHeight="1" x14ac:dyDescent="0.2">
      <c r="A1" s="90"/>
      <c r="B1" s="310" t="s">
        <v>157</v>
      </c>
      <c r="C1" s="86" t="s">
        <v>74</v>
      </c>
      <c r="D1" s="87"/>
      <c r="E1" s="66"/>
      <c r="F1" s="80">
        <f>39739.85+9049.3</f>
        <v>48789.149999999994</v>
      </c>
      <c r="G1" s="148" t="s">
        <v>76</v>
      </c>
      <c r="H1" s="149">
        <v>0.75</v>
      </c>
      <c r="I1" s="150">
        <f>F3*H1</f>
        <v>34187.962499999994</v>
      </c>
      <c r="J1" s="9"/>
      <c r="K1" s="167"/>
    </row>
    <row r="2" spans="1:20" s="1" customFormat="1" ht="12" customHeight="1" x14ac:dyDescent="0.2">
      <c r="A2" s="91"/>
      <c r="B2" s="311"/>
      <c r="C2" s="86" t="s">
        <v>80</v>
      </c>
      <c r="D2" s="88"/>
      <c r="E2" s="89"/>
      <c r="F2" s="249">
        <f>2880+325.2</f>
        <v>3205.2</v>
      </c>
      <c r="G2" s="148" t="s">
        <v>77</v>
      </c>
      <c r="H2" s="149">
        <v>0.25</v>
      </c>
      <c r="I2" s="151">
        <f>F3*H2</f>
        <v>11395.987499999999</v>
      </c>
      <c r="J2" s="7"/>
      <c r="K2" s="248"/>
      <c r="N2" s="72"/>
      <c r="O2" s="72"/>
    </row>
    <row r="3" spans="1:20" s="1" customFormat="1" ht="11.25" customHeight="1" x14ac:dyDescent="0.25">
      <c r="A3" s="92"/>
      <c r="B3" s="135"/>
      <c r="C3" s="312" t="s">
        <v>75</v>
      </c>
      <c r="D3" s="313"/>
      <c r="E3" s="314"/>
      <c r="F3" s="152">
        <f>F1-F2</f>
        <v>45583.95</v>
      </c>
      <c r="G3" s="83"/>
      <c r="H3" s="84" t="s">
        <v>68</v>
      </c>
      <c r="I3" s="153">
        <f>SUM(I1:I2)</f>
        <v>45583.95</v>
      </c>
      <c r="J3" s="85"/>
      <c r="K3" s="168"/>
      <c r="N3" s="72"/>
      <c r="O3" s="72"/>
    </row>
    <row r="4" spans="1:20" s="140" customFormat="1" ht="18.75" customHeight="1" x14ac:dyDescent="0.2">
      <c r="A4" s="136"/>
      <c r="B4" s="143"/>
      <c r="C4" s="187" t="s">
        <v>33</v>
      </c>
      <c r="D4" s="137" t="s">
        <v>35</v>
      </c>
      <c r="E4" s="137" t="s">
        <v>2</v>
      </c>
      <c r="F4" s="137" t="s">
        <v>3</v>
      </c>
      <c r="G4" s="138" t="s">
        <v>4</v>
      </c>
      <c r="H4" s="138" t="s">
        <v>5</v>
      </c>
      <c r="I4" s="138" t="s">
        <v>6</v>
      </c>
      <c r="J4" s="139"/>
      <c r="K4" s="244"/>
      <c r="M4" s="141"/>
      <c r="N4" s="142" t="s">
        <v>66</v>
      </c>
      <c r="O4" s="142" t="s">
        <v>67</v>
      </c>
    </row>
    <row r="5" spans="1:20" x14ac:dyDescent="0.2">
      <c r="A5" s="9" t="s">
        <v>14</v>
      </c>
      <c r="B5" s="265" t="s">
        <v>87</v>
      </c>
      <c r="C5" s="268">
        <v>1</v>
      </c>
      <c r="D5" s="7" t="s">
        <v>12</v>
      </c>
      <c r="E5" s="304">
        <f>40+20</f>
        <v>60</v>
      </c>
      <c r="F5" s="292">
        <v>18.55</v>
      </c>
      <c r="G5" s="78">
        <f>E5*F5</f>
        <v>1113</v>
      </c>
      <c r="H5" s="78">
        <f>G5*32.7/100</f>
        <v>363.95100000000008</v>
      </c>
      <c r="I5" s="78">
        <f>G5+H5</f>
        <v>1476.951</v>
      </c>
      <c r="J5" s="9" t="s">
        <v>22</v>
      </c>
      <c r="K5" s="308"/>
      <c r="M5" s="79" t="s">
        <v>71</v>
      </c>
      <c r="N5" s="80">
        <f>G5</f>
        <v>1113</v>
      </c>
      <c r="O5" s="80">
        <f>I5</f>
        <v>1476.951</v>
      </c>
      <c r="Q5" s="161"/>
    </row>
    <row r="6" spans="1:20" x14ac:dyDescent="0.2">
      <c r="A6" s="9" t="s">
        <v>14</v>
      </c>
      <c r="B6" s="19" t="s">
        <v>88</v>
      </c>
      <c r="C6" s="268">
        <v>1</v>
      </c>
      <c r="D6" s="7" t="s">
        <v>12</v>
      </c>
      <c r="E6" s="305">
        <v>40</v>
      </c>
      <c r="F6" s="292">
        <v>18.55</v>
      </c>
      <c r="G6" s="81">
        <f t="shared" ref="G6:G44" si="0">E6*F6</f>
        <v>742</v>
      </c>
      <c r="H6" s="78">
        <f>G6*32.7/100</f>
        <v>242.63400000000001</v>
      </c>
      <c r="I6" s="81">
        <f>G6+H6</f>
        <v>984.63400000000001</v>
      </c>
      <c r="J6" s="9" t="s">
        <v>22</v>
      </c>
      <c r="K6" s="308"/>
      <c r="M6" s="235" t="s">
        <v>117</v>
      </c>
      <c r="N6" s="80">
        <f>G43+G44</f>
        <v>3080</v>
      </c>
      <c r="O6" s="80">
        <f>I43+I44</f>
        <v>4087.1600000000003</v>
      </c>
      <c r="Q6" s="161"/>
    </row>
    <row r="7" spans="1:20" x14ac:dyDescent="0.2">
      <c r="A7" s="9" t="s">
        <v>14</v>
      </c>
      <c r="B7" s="19" t="s">
        <v>89</v>
      </c>
      <c r="C7" s="268">
        <v>1</v>
      </c>
      <c r="D7" s="7" t="s">
        <v>12</v>
      </c>
      <c r="E7" s="305">
        <v>40</v>
      </c>
      <c r="F7" s="292">
        <v>18.55</v>
      </c>
      <c r="G7" s="81">
        <f t="shared" si="0"/>
        <v>742</v>
      </c>
      <c r="H7" s="78">
        <f>G7*32.7/100</f>
        <v>242.63400000000001</v>
      </c>
      <c r="I7" s="81">
        <f>G7+H7</f>
        <v>984.63400000000001</v>
      </c>
      <c r="J7" s="9" t="s">
        <v>22</v>
      </c>
      <c r="K7" s="308"/>
      <c r="M7" s="74" t="s">
        <v>72</v>
      </c>
      <c r="N7" s="80">
        <f>SUM(G6:G42)+G45</f>
        <v>29377.14</v>
      </c>
      <c r="O7" s="80">
        <f>SUM(I6:I42)+I45</f>
        <v>38983.464780000009</v>
      </c>
      <c r="Q7" s="161"/>
    </row>
    <row r="8" spans="1:20" x14ac:dyDescent="0.2">
      <c r="A8" s="9" t="s">
        <v>14</v>
      </c>
      <c r="B8" s="19" t="s">
        <v>90</v>
      </c>
      <c r="C8" s="268">
        <v>1</v>
      </c>
      <c r="D8" s="7" t="s">
        <v>12</v>
      </c>
      <c r="E8" s="305">
        <v>30</v>
      </c>
      <c r="F8" s="292">
        <v>18.55</v>
      </c>
      <c r="G8" s="81">
        <f t="shared" si="0"/>
        <v>556.5</v>
      </c>
      <c r="H8" s="29">
        <f t="shared" ref="H8:H11" si="1">G8*32.7/100</f>
        <v>181.97550000000004</v>
      </c>
      <c r="I8" s="81">
        <f t="shared" ref="I8:I11" si="2">G8+H8</f>
        <v>738.47550000000001</v>
      </c>
      <c r="J8" s="9" t="s">
        <v>22</v>
      </c>
      <c r="K8" s="308"/>
      <c r="M8" s="235" t="s">
        <v>73</v>
      </c>
      <c r="N8" s="82"/>
      <c r="O8" s="236">
        <f>N8*132.7/100</f>
        <v>0</v>
      </c>
    </row>
    <row r="9" spans="1:20" x14ac:dyDescent="0.2">
      <c r="A9" s="9" t="s">
        <v>14</v>
      </c>
      <c r="B9" s="19" t="s">
        <v>91</v>
      </c>
      <c r="C9" s="268">
        <v>1</v>
      </c>
      <c r="D9" s="7" t="s">
        <v>12</v>
      </c>
      <c r="E9" s="305">
        <v>20</v>
      </c>
      <c r="F9" s="292">
        <v>18.55</v>
      </c>
      <c r="G9" s="81">
        <f t="shared" si="0"/>
        <v>371</v>
      </c>
      <c r="H9" s="29">
        <f t="shared" si="1"/>
        <v>121.31700000000001</v>
      </c>
      <c r="I9" s="81">
        <f t="shared" si="2"/>
        <v>492.31700000000001</v>
      </c>
      <c r="J9" s="9" t="s">
        <v>22</v>
      </c>
      <c r="K9" s="308"/>
      <c r="M9" s="237" t="s">
        <v>15</v>
      </c>
      <c r="N9" s="208">
        <f>G80+G46</f>
        <v>3600</v>
      </c>
      <c r="O9" s="208">
        <f>I80+I46</f>
        <v>4777.2</v>
      </c>
      <c r="Q9" s="161"/>
    </row>
    <row r="10" spans="1:20" x14ac:dyDescent="0.2">
      <c r="A10" s="9" t="s">
        <v>14</v>
      </c>
      <c r="B10" s="19" t="s">
        <v>92</v>
      </c>
      <c r="C10" s="268">
        <v>1</v>
      </c>
      <c r="D10" s="7" t="s">
        <v>12</v>
      </c>
      <c r="E10" s="305">
        <v>30</v>
      </c>
      <c r="F10" s="292">
        <v>18.55</v>
      </c>
      <c r="G10" s="81">
        <f t="shared" si="0"/>
        <v>556.5</v>
      </c>
      <c r="H10" s="29">
        <f t="shared" si="1"/>
        <v>181.97550000000004</v>
      </c>
      <c r="I10" s="81">
        <f t="shared" si="2"/>
        <v>738.47550000000001</v>
      </c>
      <c r="J10" s="9" t="s">
        <v>22</v>
      </c>
      <c r="K10" s="308"/>
      <c r="M10" s="239" t="s">
        <v>68</v>
      </c>
      <c r="N10" s="240">
        <f>SUM(N5:N9)</f>
        <v>37170.14</v>
      </c>
      <c r="O10" s="240">
        <f>SUM(O5:O9)</f>
        <v>49324.775780000011</v>
      </c>
      <c r="P10" s="161"/>
      <c r="Q10" s="161"/>
    </row>
    <row r="11" spans="1:20" x14ac:dyDescent="0.2">
      <c r="A11" s="9" t="s">
        <v>14</v>
      </c>
      <c r="B11" s="19" t="s">
        <v>93</v>
      </c>
      <c r="C11" s="268">
        <v>1</v>
      </c>
      <c r="D11" s="7" t="s">
        <v>12</v>
      </c>
      <c r="E11" s="305">
        <v>25</v>
      </c>
      <c r="F11" s="292">
        <v>18.55</v>
      </c>
      <c r="G11" s="81">
        <f t="shared" si="0"/>
        <v>463.75</v>
      </c>
      <c r="H11" s="29">
        <f t="shared" si="1"/>
        <v>151.64625000000001</v>
      </c>
      <c r="I11" s="81">
        <f t="shared" si="2"/>
        <v>615.39625000000001</v>
      </c>
      <c r="J11" s="9" t="s">
        <v>22</v>
      </c>
      <c r="K11" s="308"/>
      <c r="Q11" s="161" t="s">
        <v>188</v>
      </c>
    </row>
    <row r="12" spans="1:20" x14ac:dyDescent="0.2">
      <c r="A12" s="9" t="s">
        <v>14</v>
      </c>
      <c r="B12" s="19" t="s">
        <v>135</v>
      </c>
      <c r="C12" s="268">
        <v>6</v>
      </c>
      <c r="D12" s="7" t="s">
        <v>12</v>
      </c>
      <c r="E12" s="306">
        <f>C12*23</f>
        <v>138</v>
      </c>
      <c r="F12" s="292">
        <v>18.55</v>
      </c>
      <c r="G12" s="81">
        <f t="shared" si="0"/>
        <v>2559.9</v>
      </c>
      <c r="H12" s="29">
        <f>G12*32.7/100</f>
        <v>837.08730000000014</v>
      </c>
      <c r="I12" s="81">
        <f>G12+H12</f>
        <v>3396.9873000000002</v>
      </c>
      <c r="J12" s="9" t="s">
        <v>22</v>
      </c>
      <c r="K12" s="245"/>
      <c r="M12" s="9" t="s">
        <v>83</v>
      </c>
      <c r="N12" s="33">
        <f>G90</f>
        <v>788.31</v>
      </c>
      <c r="O12" s="33">
        <f>I90</f>
        <v>1046.08737</v>
      </c>
      <c r="Q12" s="161"/>
    </row>
    <row r="13" spans="1:20" x14ac:dyDescent="0.2">
      <c r="A13" s="9" t="s">
        <v>14</v>
      </c>
      <c r="B13" s="19" t="s">
        <v>136</v>
      </c>
      <c r="C13" s="268">
        <v>6</v>
      </c>
      <c r="D13" s="7" t="s">
        <v>12</v>
      </c>
      <c r="E13" s="306">
        <f>C13*2</f>
        <v>12</v>
      </c>
      <c r="F13" s="292">
        <v>18.55</v>
      </c>
      <c r="G13" s="81">
        <f t="shared" si="0"/>
        <v>222.60000000000002</v>
      </c>
      <c r="H13" s="29">
        <f>G13*32.7/100</f>
        <v>72.790200000000013</v>
      </c>
      <c r="I13" s="81">
        <f>G13+H13</f>
        <v>295.39020000000005</v>
      </c>
      <c r="J13" s="9" t="s">
        <v>22</v>
      </c>
      <c r="K13" s="245"/>
      <c r="M13" s="9" t="s">
        <v>69</v>
      </c>
      <c r="N13" s="33">
        <f>G89</f>
        <v>384.6</v>
      </c>
      <c r="O13" s="33">
        <f>I89</f>
        <v>510.36420000000004</v>
      </c>
      <c r="Q13" s="161" t="s">
        <v>189</v>
      </c>
      <c r="R13" s="2" t="s">
        <v>190</v>
      </c>
    </row>
    <row r="14" spans="1:20" x14ac:dyDescent="0.2">
      <c r="A14" s="9" t="s">
        <v>14</v>
      </c>
      <c r="B14" s="19" t="s">
        <v>125</v>
      </c>
      <c r="C14" s="268">
        <v>3</v>
      </c>
      <c r="D14" s="7" t="s">
        <v>12</v>
      </c>
      <c r="E14" s="306">
        <f>C14*4</f>
        <v>12</v>
      </c>
      <c r="F14" s="292">
        <v>18.55</v>
      </c>
      <c r="G14" s="81">
        <f t="shared" si="0"/>
        <v>222.60000000000002</v>
      </c>
      <c r="H14" s="29">
        <f t="shared" ref="H14:H15" si="3">G14*32.7/100</f>
        <v>72.790200000000013</v>
      </c>
      <c r="I14" s="81">
        <f t="shared" ref="I14:I15" si="4">G14+H14</f>
        <v>295.39020000000005</v>
      </c>
      <c r="J14" s="9" t="s">
        <v>22</v>
      </c>
      <c r="K14" s="245"/>
      <c r="M14" s="155" t="s">
        <v>68</v>
      </c>
      <c r="N14" s="156">
        <f>SUM(N12:N13)</f>
        <v>1172.9099999999999</v>
      </c>
      <c r="O14" s="156">
        <f>SUM(O12:O13)</f>
        <v>1556.4515699999999</v>
      </c>
      <c r="Q14" s="285">
        <v>17.5</v>
      </c>
      <c r="R14" s="3">
        <v>4</v>
      </c>
      <c r="S14" s="273">
        <f>Q14*R14</f>
        <v>70</v>
      </c>
    </row>
    <row r="15" spans="1:20" x14ac:dyDescent="0.2">
      <c r="A15" s="9" t="s">
        <v>14</v>
      </c>
      <c r="B15" s="19" t="s">
        <v>126</v>
      </c>
      <c r="C15" s="268">
        <v>2</v>
      </c>
      <c r="D15" s="7" t="s">
        <v>12</v>
      </c>
      <c r="E15" s="306">
        <f>C15*4</f>
        <v>8</v>
      </c>
      <c r="F15" s="292">
        <v>18.55</v>
      </c>
      <c r="G15" s="81">
        <f t="shared" si="0"/>
        <v>148.4</v>
      </c>
      <c r="H15" s="29">
        <f t="shared" si="3"/>
        <v>48.526800000000001</v>
      </c>
      <c r="I15" s="81">
        <f t="shared" si="4"/>
        <v>196.92680000000001</v>
      </c>
      <c r="J15" s="9" t="s">
        <v>22</v>
      </c>
      <c r="K15" s="245"/>
      <c r="P15" s="24"/>
      <c r="Q15" s="286">
        <v>19.25</v>
      </c>
      <c r="R15" s="287">
        <v>6</v>
      </c>
      <c r="S15" s="288">
        <f>Q15*R15</f>
        <v>115.5</v>
      </c>
      <c r="T15" s="2" t="s">
        <v>191</v>
      </c>
    </row>
    <row r="16" spans="1:20" ht="12.75" customHeight="1" x14ac:dyDescent="0.2">
      <c r="A16" s="9" t="s">
        <v>14</v>
      </c>
      <c r="B16" s="70" t="s">
        <v>63</v>
      </c>
      <c r="C16" s="268">
        <v>3</v>
      </c>
      <c r="D16" s="7" t="s">
        <v>12</v>
      </c>
      <c r="E16" s="306">
        <f>C16*2</f>
        <v>6</v>
      </c>
      <c r="F16" s="292">
        <v>18.55</v>
      </c>
      <c r="G16" s="81">
        <f t="shared" si="0"/>
        <v>111.30000000000001</v>
      </c>
      <c r="H16" s="29">
        <f>G16*32.7/100</f>
        <v>36.395100000000006</v>
      </c>
      <c r="I16" s="81">
        <f>G16+H16</f>
        <v>147.69510000000002</v>
      </c>
      <c r="J16" s="9" t="s">
        <v>22</v>
      </c>
      <c r="K16" s="245"/>
      <c r="M16" s="241" t="s">
        <v>68</v>
      </c>
      <c r="N16" s="242">
        <f>N10+N14</f>
        <v>38343.050000000003</v>
      </c>
      <c r="O16" s="243">
        <f>O10+O14</f>
        <v>50881.227350000008</v>
      </c>
      <c r="Q16" s="161"/>
      <c r="R16" s="2">
        <v>10</v>
      </c>
      <c r="S16" s="273">
        <f>SUM(S14:S15)</f>
        <v>185.5</v>
      </c>
      <c r="T16" s="273">
        <f>S16/R16</f>
        <v>18.55</v>
      </c>
    </row>
    <row r="17" spans="1:16" x14ac:dyDescent="0.2">
      <c r="A17" s="9" t="s">
        <v>14</v>
      </c>
      <c r="B17" s="71" t="s">
        <v>64</v>
      </c>
      <c r="C17" s="268">
        <v>2</v>
      </c>
      <c r="D17" s="7" t="s">
        <v>12</v>
      </c>
      <c r="E17" s="306">
        <f>C17*2</f>
        <v>4</v>
      </c>
      <c r="F17" s="292">
        <v>18.55</v>
      </c>
      <c r="G17" s="81">
        <f t="shared" si="0"/>
        <v>74.2</v>
      </c>
      <c r="H17" s="29">
        <f t="shared" ref="H17:H46" si="5">G17*32.7/100</f>
        <v>24.263400000000001</v>
      </c>
      <c r="I17" s="81">
        <f t="shared" ref="I17:I46" si="6">G17+H17</f>
        <v>98.463400000000007</v>
      </c>
      <c r="J17" s="9" t="s">
        <v>22</v>
      </c>
      <c r="K17" s="245"/>
    </row>
    <row r="18" spans="1:16" x14ac:dyDescent="0.2">
      <c r="A18" s="9" t="s">
        <v>14</v>
      </c>
      <c r="B18" s="71" t="s">
        <v>127</v>
      </c>
      <c r="C18" s="268">
        <v>14</v>
      </c>
      <c r="D18" s="7" t="s">
        <v>12</v>
      </c>
      <c r="E18" s="306">
        <f>C18*15</f>
        <v>210</v>
      </c>
      <c r="F18" s="292">
        <v>18.55</v>
      </c>
      <c r="G18" s="81">
        <f t="shared" si="0"/>
        <v>3895.5</v>
      </c>
      <c r="H18" s="29">
        <f t="shared" si="5"/>
        <v>1273.8285000000001</v>
      </c>
      <c r="I18" s="81">
        <f t="shared" si="6"/>
        <v>5169.3284999999996</v>
      </c>
      <c r="J18" s="9" t="s">
        <v>22</v>
      </c>
      <c r="K18" s="245"/>
      <c r="M18" s="74" t="s">
        <v>70</v>
      </c>
      <c r="N18" s="75">
        <f>G88</f>
        <v>2913.92</v>
      </c>
      <c r="O18" s="75">
        <f>I88</f>
        <v>3866.7918400000003</v>
      </c>
    </row>
    <row r="19" spans="1:16" x14ac:dyDescent="0.2">
      <c r="A19" s="9" t="s">
        <v>14</v>
      </c>
      <c r="B19" s="71" t="s">
        <v>184</v>
      </c>
      <c r="C19" s="268">
        <v>6</v>
      </c>
      <c r="D19" s="7" t="s">
        <v>12</v>
      </c>
      <c r="E19" s="306">
        <f>C19*7</f>
        <v>42</v>
      </c>
      <c r="F19" s="292">
        <v>18.55</v>
      </c>
      <c r="G19" s="81">
        <f t="shared" si="0"/>
        <v>779.1</v>
      </c>
      <c r="H19" s="29">
        <f t="shared" si="5"/>
        <v>254.76570000000004</v>
      </c>
      <c r="I19" s="81">
        <f t="shared" si="6"/>
        <v>1033.8657000000001</v>
      </c>
      <c r="J19" s="9" t="s">
        <v>22</v>
      </c>
      <c r="K19" s="245"/>
      <c r="M19" s="283"/>
      <c r="N19" s="284"/>
      <c r="O19" s="284"/>
    </row>
    <row r="20" spans="1:16" x14ac:dyDescent="0.2">
      <c r="A20" s="9" t="s">
        <v>14</v>
      </c>
      <c r="B20" s="71" t="s">
        <v>183</v>
      </c>
      <c r="C20" s="268">
        <v>6</v>
      </c>
      <c r="D20" s="7" t="s">
        <v>12</v>
      </c>
      <c r="E20" s="306">
        <f>C20*2</f>
        <v>12</v>
      </c>
      <c r="F20" s="292">
        <v>18.55</v>
      </c>
      <c r="G20" s="81">
        <f t="shared" si="0"/>
        <v>222.60000000000002</v>
      </c>
      <c r="H20" s="29">
        <f t="shared" si="5"/>
        <v>72.790200000000013</v>
      </c>
      <c r="I20" s="81">
        <f t="shared" si="6"/>
        <v>295.39020000000005</v>
      </c>
      <c r="J20" s="9" t="s">
        <v>22</v>
      </c>
      <c r="K20" s="245"/>
      <c r="N20" s="2"/>
      <c r="O20" s="2"/>
    </row>
    <row r="21" spans="1:16" x14ac:dyDescent="0.2">
      <c r="A21" s="9" t="s">
        <v>14</v>
      </c>
      <c r="B21" s="71" t="s">
        <v>182</v>
      </c>
      <c r="C21" s="268">
        <v>6</v>
      </c>
      <c r="D21" s="7" t="s">
        <v>12</v>
      </c>
      <c r="E21" s="306">
        <f>C21*2</f>
        <v>12</v>
      </c>
      <c r="F21" s="292">
        <v>18.55</v>
      </c>
      <c r="G21" s="81">
        <f t="shared" si="0"/>
        <v>222.60000000000002</v>
      </c>
      <c r="H21" s="29">
        <f t="shared" si="5"/>
        <v>72.790200000000013</v>
      </c>
      <c r="I21" s="81">
        <f t="shared" si="6"/>
        <v>295.39020000000005</v>
      </c>
      <c r="J21" s="9" t="s">
        <v>22</v>
      </c>
      <c r="K21" s="245"/>
      <c r="N21" s="2"/>
      <c r="O21" s="2"/>
    </row>
    <row r="22" spans="1:16" x14ac:dyDescent="0.2">
      <c r="A22" s="9" t="s">
        <v>14</v>
      </c>
      <c r="B22" s="71" t="s">
        <v>128</v>
      </c>
      <c r="C22" s="268">
        <v>1</v>
      </c>
      <c r="D22" s="7" t="s">
        <v>12</v>
      </c>
      <c r="E22" s="306">
        <f>C22*10</f>
        <v>10</v>
      </c>
      <c r="F22" s="292">
        <v>18.55</v>
      </c>
      <c r="G22" s="81">
        <f t="shared" si="0"/>
        <v>185.5</v>
      </c>
      <c r="H22" s="29">
        <f t="shared" si="5"/>
        <v>60.658500000000004</v>
      </c>
      <c r="I22" s="81">
        <f t="shared" si="6"/>
        <v>246.1585</v>
      </c>
      <c r="J22" s="9" t="s">
        <v>22</v>
      </c>
      <c r="K22" s="245"/>
      <c r="N22" s="2"/>
      <c r="O22" s="2"/>
    </row>
    <row r="23" spans="1:16" ht="14.25" customHeight="1" x14ac:dyDescent="0.2">
      <c r="A23" s="9" t="s">
        <v>14</v>
      </c>
      <c r="B23" s="71" t="s">
        <v>115</v>
      </c>
      <c r="C23" s="268">
        <v>6</v>
      </c>
      <c r="D23" s="7" t="s">
        <v>12</v>
      </c>
      <c r="E23" s="306">
        <f>(C23*10)-15</f>
        <v>45</v>
      </c>
      <c r="F23" s="292">
        <v>18.55</v>
      </c>
      <c r="G23" s="81">
        <f t="shared" si="0"/>
        <v>834.75</v>
      </c>
      <c r="H23" s="29">
        <f t="shared" si="5"/>
        <v>272.96325000000002</v>
      </c>
      <c r="I23" s="81">
        <f t="shared" si="6"/>
        <v>1107.71325</v>
      </c>
      <c r="J23" s="9" t="s">
        <v>22</v>
      </c>
      <c r="K23" s="245"/>
      <c r="M23" s="76" t="s">
        <v>52</v>
      </c>
      <c r="N23" s="157">
        <f>N16+N18</f>
        <v>41256.97</v>
      </c>
      <c r="O23" s="158">
        <f>O16+O18</f>
        <v>54748.019190000006</v>
      </c>
    </row>
    <row r="24" spans="1:16" ht="22.5" x14ac:dyDescent="0.2">
      <c r="A24" s="9" t="s">
        <v>14</v>
      </c>
      <c r="B24" s="71" t="s">
        <v>193</v>
      </c>
      <c r="C24" s="270" t="s">
        <v>18</v>
      </c>
      <c r="D24" s="7" t="s">
        <v>12</v>
      </c>
      <c r="E24" s="307">
        <f>25+17</f>
        <v>42</v>
      </c>
      <c r="F24" s="292">
        <v>17.5</v>
      </c>
      <c r="G24" s="81">
        <f t="shared" si="0"/>
        <v>735</v>
      </c>
      <c r="H24" s="29">
        <f t="shared" si="5"/>
        <v>240.34500000000003</v>
      </c>
      <c r="I24" s="81">
        <f t="shared" si="6"/>
        <v>975.34500000000003</v>
      </c>
      <c r="J24" s="9" t="s">
        <v>22</v>
      </c>
      <c r="K24" s="245"/>
    </row>
    <row r="25" spans="1:16" x14ac:dyDescent="0.2">
      <c r="A25" s="9" t="s">
        <v>14</v>
      </c>
      <c r="B25" s="71" t="s">
        <v>118</v>
      </c>
      <c r="C25" s="270">
        <v>6</v>
      </c>
      <c r="D25" s="7" t="s">
        <v>12</v>
      </c>
      <c r="E25" s="298">
        <f>C25*6</f>
        <v>36</v>
      </c>
      <c r="F25" s="292">
        <v>18.55</v>
      </c>
      <c r="G25" s="81">
        <f t="shared" si="0"/>
        <v>667.80000000000007</v>
      </c>
      <c r="H25" s="29">
        <f t="shared" si="5"/>
        <v>218.37060000000005</v>
      </c>
      <c r="I25" s="81">
        <f t="shared" si="6"/>
        <v>886.17060000000015</v>
      </c>
      <c r="J25" s="9" t="s">
        <v>22</v>
      </c>
      <c r="K25" s="245"/>
    </row>
    <row r="26" spans="1:16" ht="11.25" customHeight="1" x14ac:dyDescent="0.2">
      <c r="A26" s="9" t="s">
        <v>14</v>
      </c>
      <c r="B26" s="77" t="s">
        <v>176</v>
      </c>
      <c r="C26" s="270">
        <v>6</v>
      </c>
      <c r="D26" s="7" t="s">
        <v>13</v>
      </c>
      <c r="E26" s="174">
        <v>50</v>
      </c>
      <c r="F26" s="5">
        <v>17.5</v>
      </c>
      <c r="G26" s="81">
        <f t="shared" si="0"/>
        <v>875</v>
      </c>
      <c r="H26" s="29">
        <f t="shared" si="5"/>
        <v>286.12500000000006</v>
      </c>
      <c r="I26" s="81">
        <f t="shared" si="6"/>
        <v>1161.125</v>
      </c>
      <c r="J26" s="9" t="s">
        <v>22</v>
      </c>
      <c r="K26" s="245"/>
      <c r="M26" s="9" t="s">
        <v>84</v>
      </c>
      <c r="N26" s="159">
        <f>G74</f>
        <v>2880</v>
      </c>
      <c r="O26" s="33">
        <f>I74</f>
        <v>3821.76</v>
      </c>
    </row>
    <row r="27" spans="1:16" ht="12" customHeight="1" x14ac:dyDescent="0.2">
      <c r="A27" s="9" t="s">
        <v>14</v>
      </c>
      <c r="B27" s="275" t="s">
        <v>175</v>
      </c>
      <c r="C27" s="270">
        <v>10</v>
      </c>
      <c r="D27" s="7" t="s">
        <v>13</v>
      </c>
      <c r="E27" s="174">
        <v>70</v>
      </c>
      <c r="F27" s="5">
        <v>17.5</v>
      </c>
      <c r="G27" s="81">
        <f t="shared" si="0"/>
        <v>1225</v>
      </c>
      <c r="H27" s="29">
        <f t="shared" si="5"/>
        <v>400.57499999999999</v>
      </c>
      <c r="I27" s="81">
        <f t="shared" si="6"/>
        <v>1625.575</v>
      </c>
      <c r="J27" s="9" t="s">
        <v>22</v>
      </c>
      <c r="K27" s="245"/>
      <c r="M27" s="9" t="s">
        <v>85</v>
      </c>
      <c r="N27" s="159">
        <f>G75</f>
        <v>325.2</v>
      </c>
      <c r="O27" s="159">
        <f>I75</f>
        <v>431.54039999999998</v>
      </c>
    </row>
    <row r="28" spans="1:16" x14ac:dyDescent="0.2">
      <c r="A28" s="9" t="s">
        <v>14</v>
      </c>
      <c r="B28" s="77" t="s">
        <v>174</v>
      </c>
      <c r="C28" s="270">
        <v>16</v>
      </c>
      <c r="D28" s="7" t="s">
        <v>13</v>
      </c>
      <c r="E28" s="174">
        <v>60</v>
      </c>
      <c r="F28" s="5">
        <v>17.5</v>
      </c>
      <c r="G28" s="81">
        <f t="shared" si="0"/>
        <v>1050</v>
      </c>
      <c r="H28" s="29">
        <f t="shared" si="5"/>
        <v>343.35</v>
      </c>
      <c r="I28" s="81">
        <f t="shared" si="6"/>
        <v>1393.35</v>
      </c>
      <c r="J28" s="9" t="s">
        <v>22</v>
      </c>
      <c r="K28" s="245"/>
      <c r="M28" s="302" t="s">
        <v>9</v>
      </c>
      <c r="N28" s="303">
        <f>SUM(N26:N27)</f>
        <v>3205.2</v>
      </c>
      <c r="O28" s="303">
        <f>SUM(O26:O27)</f>
        <v>4253.3004000000001</v>
      </c>
    </row>
    <row r="29" spans="1:16" ht="21.75" customHeight="1" x14ac:dyDescent="0.2">
      <c r="A29" s="9" t="s">
        <v>14</v>
      </c>
      <c r="B29" s="77" t="s">
        <v>173</v>
      </c>
      <c r="C29" s="270">
        <v>7</v>
      </c>
      <c r="D29" s="7" t="s">
        <v>13</v>
      </c>
      <c r="E29" s="174">
        <v>60</v>
      </c>
      <c r="F29" s="5">
        <v>17.5</v>
      </c>
      <c r="G29" s="81">
        <f t="shared" si="0"/>
        <v>1050</v>
      </c>
      <c r="H29" s="29">
        <f t="shared" si="5"/>
        <v>343.35</v>
      </c>
      <c r="I29" s="81">
        <f t="shared" si="6"/>
        <v>1393.35</v>
      </c>
      <c r="J29" s="9" t="s">
        <v>22</v>
      </c>
      <c r="K29" s="245"/>
      <c r="P29" s="3"/>
    </row>
    <row r="30" spans="1:16" x14ac:dyDescent="0.2">
      <c r="A30" s="9" t="s">
        <v>14</v>
      </c>
      <c r="B30" s="77" t="s">
        <v>171</v>
      </c>
      <c r="C30" s="270">
        <v>9</v>
      </c>
      <c r="D30" s="7" t="s">
        <v>13</v>
      </c>
      <c r="E30" s="174">
        <v>30</v>
      </c>
      <c r="F30" s="5">
        <v>17.5</v>
      </c>
      <c r="G30" s="81">
        <f t="shared" si="0"/>
        <v>525</v>
      </c>
      <c r="H30" s="29">
        <f t="shared" si="5"/>
        <v>171.67500000000001</v>
      </c>
      <c r="I30" s="81">
        <f t="shared" si="6"/>
        <v>696.67499999999995</v>
      </c>
      <c r="J30" s="9" t="s">
        <v>22</v>
      </c>
      <c r="K30" s="245"/>
      <c r="M30" s="9" t="s">
        <v>32</v>
      </c>
      <c r="N30" s="159">
        <f>G60+G70+G71</f>
        <v>11395.99</v>
      </c>
      <c r="O30" s="159">
        <f>I60+I70+I71</f>
        <v>15122.478729999999</v>
      </c>
    </row>
    <row r="31" spans="1:16" x14ac:dyDescent="0.2">
      <c r="A31" s="9" t="s">
        <v>14</v>
      </c>
      <c r="B31" s="77" t="s">
        <v>172</v>
      </c>
      <c r="C31" s="270">
        <v>5</v>
      </c>
      <c r="D31" s="7" t="s">
        <v>13</v>
      </c>
      <c r="E31" s="174">
        <v>10</v>
      </c>
      <c r="F31" s="5">
        <v>17.5</v>
      </c>
      <c r="G31" s="81">
        <f t="shared" si="0"/>
        <v>175</v>
      </c>
      <c r="H31" s="29">
        <f t="shared" si="5"/>
        <v>57.225000000000009</v>
      </c>
      <c r="I31" s="81">
        <f t="shared" si="6"/>
        <v>232.22500000000002</v>
      </c>
      <c r="J31" s="9" t="s">
        <v>22</v>
      </c>
      <c r="K31" s="245"/>
      <c r="M31" s="9" t="s">
        <v>65</v>
      </c>
      <c r="N31" s="33">
        <f>G85</f>
        <v>1817.27</v>
      </c>
      <c r="O31" s="33">
        <f>I85</f>
        <v>2411.5172899999998</v>
      </c>
    </row>
    <row r="32" spans="1:16" x14ac:dyDescent="0.2">
      <c r="A32" s="9" t="s">
        <v>14</v>
      </c>
      <c r="B32" s="77" t="s">
        <v>170</v>
      </c>
      <c r="C32" s="269">
        <v>1</v>
      </c>
      <c r="D32" s="7" t="s">
        <v>12</v>
      </c>
      <c r="E32" s="298">
        <v>10</v>
      </c>
      <c r="F32" s="292">
        <v>18.55</v>
      </c>
      <c r="G32" s="81">
        <f t="shared" si="0"/>
        <v>185.5</v>
      </c>
      <c r="H32" s="29">
        <f t="shared" si="5"/>
        <v>60.658500000000004</v>
      </c>
      <c r="I32" s="81">
        <f t="shared" si="6"/>
        <v>246.1585</v>
      </c>
      <c r="J32" s="9" t="s">
        <v>22</v>
      </c>
      <c r="K32" s="245"/>
      <c r="M32" s="9" t="s">
        <v>10</v>
      </c>
      <c r="N32" s="160">
        <f>SUM(N30:N31)</f>
        <v>13213.26</v>
      </c>
      <c r="O32" s="160">
        <f>SUM(O30:O31)</f>
        <v>17533.996019999999</v>
      </c>
    </row>
    <row r="33" spans="1:15" x14ac:dyDescent="0.2">
      <c r="A33" s="9"/>
      <c r="B33" s="77" t="s">
        <v>177</v>
      </c>
      <c r="C33" s="269">
        <v>4</v>
      </c>
      <c r="D33" s="7" t="s">
        <v>13</v>
      </c>
      <c r="E33" s="270">
        <v>4</v>
      </c>
      <c r="F33" s="5">
        <v>17.5</v>
      </c>
      <c r="G33" s="81">
        <f t="shared" si="0"/>
        <v>70</v>
      </c>
      <c r="H33" s="29">
        <f t="shared" si="5"/>
        <v>22.89</v>
      </c>
      <c r="I33" s="81">
        <f t="shared" si="6"/>
        <v>92.89</v>
      </c>
      <c r="J33" s="9" t="s">
        <v>22</v>
      </c>
      <c r="K33" s="245"/>
    </row>
    <row r="34" spans="1:15" x14ac:dyDescent="0.2">
      <c r="A34" s="9"/>
      <c r="B34" s="77" t="s">
        <v>138</v>
      </c>
      <c r="C34" s="269">
        <v>1</v>
      </c>
      <c r="D34" s="7" t="s">
        <v>13</v>
      </c>
      <c r="E34" s="174">
        <v>10</v>
      </c>
      <c r="F34" s="289">
        <v>18.55</v>
      </c>
      <c r="G34" s="81">
        <f t="shared" si="0"/>
        <v>185.5</v>
      </c>
      <c r="H34" s="29">
        <f t="shared" si="5"/>
        <v>60.658500000000004</v>
      </c>
      <c r="I34" s="81">
        <f t="shared" si="6"/>
        <v>246.1585</v>
      </c>
      <c r="J34" s="9" t="s">
        <v>22</v>
      </c>
      <c r="K34" s="245"/>
    </row>
    <row r="35" spans="1:15" x14ac:dyDescent="0.2">
      <c r="A35" s="9"/>
      <c r="B35" s="77" t="s">
        <v>119</v>
      </c>
      <c r="C35" s="269">
        <v>1</v>
      </c>
      <c r="D35" s="7" t="s">
        <v>13</v>
      </c>
      <c r="E35" s="174">
        <v>10</v>
      </c>
      <c r="F35" s="289">
        <v>18.55</v>
      </c>
      <c r="G35" s="81">
        <f t="shared" si="0"/>
        <v>185.5</v>
      </c>
      <c r="H35" s="29">
        <f t="shared" si="5"/>
        <v>60.658500000000004</v>
      </c>
      <c r="I35" s="81">
        <f t="shared" si="6"/>
        <v>246.1585</v>
      </c>
      <c r="J35" s="9" t="s">
        <v>22</v>
      </c>
      <c r="K35" s="245"/>
      <c r="M35" s="165" t="s">
        <v>86</v>
      </c>
      <c r="N35" s="166">
        <f>N23+N32+N28</f>
        <v>57675.43</v>
      </c>
      <c r="O35" s="166">
        <f>O23+O32+O28</f>
        <v>76535.31561000002</v>
      </c>
    </row>
    <row r="36" spans="1:15" x14ac:dyDescent="0.2">
      <c r="A36" s="9"/>
      <c r="B36" s="77" t="s">
        <v>137</v>
      </c>
      <c r="C36" s="269">
        <v>1</v>
      </c>
      <c r="D36" s="7" t="s">
        <v>13</v>
      </c>
      <c r="E36" s="174">
        <v>15</v>
      </c>
      <c r="F36" s="289">
        <v>18.55</v>
      </c>
      <c r="G36" s="81">
        <f t="shared" si="0"/>
        <v>278.25</v>
      </c>
      <c r="H36" s="29">
        <f t="shared" si="5"/>
        <v>90.98775000000002</v>
      </c>
      <c r="I36" s="81">
        <f t="shared" si="6"/>
        <v>369.23775000000001</v>
      </c>
      <c r="J36" s="9" t="s">
        <v>22</v>
      </c>
      <c r="K36" s="245"/>
      <c r="M36" s="2">
        <f>SUM(E5:E23)+E25+E32+(E34:E37)</f>
        <v>817</v>
      </c>
    </row>
    <row r="37" spans="1:15" x14ac:dyDescent="0.2">
      <c r="A37" s="9"/>
      <c r="B37" s="77" t="s">
        <v>150</v>
      </c>
      <c r="C37" s="269">
        <v>1</v>
      </c>
      <c r="D37" s="7" t="s">
        <v>13</v>
      </c>
      <c r="E37" s="174">
        <v>10</v>
      </c>
      <c r="F37" s="289">
        <v>18.55</v>
      </c>
      <c r="G37" s="81">
        <f t="shared" si="0"/>
        <v>185.5</v>
      </c>
      <c r="H37" s="29">
        <f t="shared" si="5"/>
        <v>60.658500000000004</v>
      </c>
      <c r="I37" s="81">
        <f t="shared" si="6"/>
        <v>246.1585</v>
      </c>
      <c r="J37" s="9" t="s">
        <v>22</v>
      </c>
      <c r="K37" s="245"/>
    </row>
    <row r="38" spans="1:15" x14ac:dyDescent="0.2">
      <c r="A38" s="9"/>
      <c r="B38" s="19" t="s">
        <v>151</v>
      </c>
      <c r="C38" s="188" t="s">
        <v>18</v>
      </c>
      <c r="D38" s="7" t="s">
        <v>13</v>
      </c>
      <c r="E38" s="174">
        <v>40</v>
      </c>
      <c r="F38" s="5">
        <v>17.5</v>
      </c>
      <c r="G38" s="81">
        <f t="shared" si="0"/>
        <v>700</v>
      </c>
      <c r="H38" s="29">
        <f t="shared" si="5"/>
        <v>228.90000000000003</v>
      </c>
      <c r="I38" s="81">
        <f t="shared" si="6"/>
        <v>928.90000000000009</v>
      </c>
      <c r="J38" s="9" t="s">
        <v>22</v>
      </c>
      <c r="K38" s="245"/>
    </row>
    <row r="39" spans="1:15" x14ac:dyDescent="0.2">
      <c r="A39" s="9" t="s">
        <v>14</v>
      </c>
      <c r="B39" s="19" t="s">
        <v>185</v>
      </c>
      <c r="C39" s="93" t="s">
        <v>103</v>
      </c>
      <c r="D39" s="7" t="s">
        <v>13</v>
      </c>
      <c r="E39" s="174">
        <v>36</v>
      </c>
      <c r="F39" s="266">
        <v>35</v>
      </c>
      <c r="G39" s="81">
        <f t="shared" si="0"/>
        <v>1260</v>
      </c>
      <c r="H39" s="29">
        <f t="shared" si="5"/>
        <v>412.02</v>
      </c>
      <c r="I39" s="81">
        <f t="shared" si="6"/>
        <v>1672.02</v>
      </c>
      <c r="J39" s="9" t="s">
        <v>22</v>
      </c>
      <c r="K39" s="245"/>
    </row>
    <row r="40" spans="1:15" x14ac:dyDescent="0.2">
      <c r="A40" s="9"/>
      <c r="B40" s="19" t="s">
        <v>186</v>
      </c>
      <c r="C40" s="93" t="s">
        <v>103</v>
      </c>
      <c r="D40" s="7" t="s">
        <v>13</v>
      </c>
      <c r="E40" s="174">
        <v>115</v>
      </c>
      <c r="F40" s="5">
        <v>17.5</v>
      </c>
      <c r="G40" s="81">
        <f t="shared" si="0"/>
        <v>2012.5</v>
      </c>
      <c r="H40" s="29">
        <f t="shared" si="5"/>
        <v>658.08749999999998</v>
      </c>
      <c r="I40" s="81">
        <f t="shared" si="6"/>
        <v>2670.5875000000001</v>
      </c>
      <c r="J40" s="9" t="s">
        <v>22</v>
      </c>
      <c r="K40" s="245"/>
    </row>
    <row r="41" spans="1:15" x14ac:dyDescent="0.2">
      <c r="A41" s="9" t="s">
        <v>14</v>
      </c>
      <c r="B41" s="19" t="s">
        <v>187</v>
      </c>
      <c r="C41" s="93" t="s">
        <v>103</v>
      </c>
      <c r="D41" s="7" t="s">
        <v>13</v>
      </c>
      <c r="E41" s="174">
        <v>84</v>
      </c>
      <c r="F41" s="5">
        <v>17.5</v>
      </c>
      <c r="G41" s="81">
        <f t="shared" si="0"/>
        <v>1470</v>
      </c>
      <c r="H41" s="29">
        <f t="shared" si="5"/>
        <v>480.69000000000005</v>
      </c>
      <c r="I41" s="81">
        <f t="shared" si="6"/>
        <v>1950.69</v>
      </c>
      <c r="J41" s="9" t="s">
        <v>22</v>
      </c>
      <c r="K41" s="245"/>
    </row>
    <row r="42" spans="1:15" x14ac:dyDescent="0.2">
      <c r="A42" s="9" t="s">
        <v>14</v>
      </c>
      <c r="B42" s="19" t="s">
        <v>192</v>
      </c>
      <c r="C42" s="93" t="s">
        <v>103</v>
      </c>
      <c r="D42" s="7" t="s">
        <v>13</v>
      </c>
      <c r="E42" s="174">
        <v>38</v>
      </c>
      <c r="F42" s="5">
        <v>17.5</v>
      </c>
      <c r="G42" s="81">
        <f t="shared" si="0"/>
        <v>665</v>
      </c>
      <c r="H42" s="29">
        <f t="shared" si="5"/>
        <v>217.45500000000004</v>
      </c>
      <c r="I42" s="81">
        <f t="shared" si="6"/>
        <v>882.45500000000004</v>
      </c>
      <c r="J42" s="9" t="s">
        <v>22</v>
      </c>
      <c r="K42" s="245"/>
    </row>
    <row r="43" spans="1:15" x14ac:dyDescent="0.2">
      <c r="A43" s="9"/>
      <c r="B43" s="265" t="s">
        <v>140</v>
      </c>
      <c r="C43" s="93" t="s">
        <v>103</v>
      </c>
      <c r="D43" s="7" t="s">
        <v>13</v>
      </c>
      <c r="E43" s="174">
        <f>20</f>
        <v>20</v>
      </c>
      <c r="F43" s="164">
        <v>35</v>
      </c>
      <c r="G43" s="154">
        <f t="shared" si="0"/>
        <v>700</v>
      </c>
      <c r="H43" s="154">
        <f t="shared" si="5"/>
        <v>228.90000000000003</v>
      </c>
      <c r="I43" s="154">
        <f t="shared" si="6"/>
        <v>928.90000000000009</v>
      </c>
      <c r="J43" s="9" t="s">
        <v>22</v>
      </c>
      <c r="K43" s="245"/>
      <c r="M43" s="24">
        <f>SUM(G26:G44)</f>
        <v>15177.75</v>
      </c>
    </row>
    <row r="44" spans="1:15" x14ac:dyDescent="0.2">
      <c r="A44" s="9" t="s">
        <v>14</v>
      </c>
      <c r="B44" s="265" t="s">
        <v>106</v>
      </c>
      <c r="C44" s="93" t="s">
        <v>103</v>
      </c>
      <c r="D44" s="7" t="s">
        <v>13</v>
      </c>
      <c r="E44" s="174">
        <v>68</v>
      </c>
      <c r="F44" s="164">
        <v>35</v>
      </c>
      <c r="G44" s="154">
        <f t="shared" si="0"/>
        <v>2380</v>
      </c>
      <c r="H44" s="154">
        <f t="shared" si="5"/>
        <v>778.26</v>
      </c>
      <c r="I44" s="154">
        <f t="shared" si="6"/>
        <v>3158.26</v>
      </c>
      <c r="J44" s="9" t="s">
        <v>22</v>
      </c>
      <c r="K44" s="245"/>
    </row>
    <row r="45" spans="1:15" ht="22.5" x14ac:dyDescent="0.2">
      <c r="A45" s="9" t="s">
        <v>14</v>
      </c>
      <c r="B45" s="77" t="s">
        <v>194</v>
      </c>
      <c r="C45" s="93" t="s">
        <v>18</v>
      </c>
      <c r="D45" s="7" t="s">
        <v>13</v>
      </c>
      <c r="E45" s="174">
        <v>152</v>
      </c>
      <c r="F45" s="190"/>
      <c r="G45" s="81">
        <f>3374.59-297.5-111.3</f>
        <v>2965.79</v>
      </c>
      <c r="H45" s="29">
        <f t="shared" si="5"/>
        <v>969.81333000000018</v>
      </c>
      <c r="I45" s="81">
        <f t="shared" si="6"/>
        <v>3935.6033299999999</v>
      </c>
      <c r="J45" s="9" t="s">
        <v>22</v>
      </c>
      <c r="K45" s="245"/>
    </row>
    <row r="46" spans="1:15" x14ac:dyDescent="0.2">
      <c r="A46" s="9"/>
      <c r="B46" s="252" t="s">
        <v>159</v>
      </c>
      <c r="C46" s="189"/>
      <c r="D46" s="181"/>
      <c r="E46" s="206">
        <v>35</v>
      </c>
      <c r="F46" s="207"/>
      <c r="G46" s="256">
        <v>617.82000000000005</v>
      </c>
      <c r="H46" s="256">
        <f t="shared" si="5"/>
        <v>202.02714000000003</v>
      </c>
      <c r="I46" s="256">
        <f t="shared" si="6"/>
        <v>819.84714000000008</v>
      </c>
      <c r="J46" s="9" t="s">
        <v>22</v>
      </c>
      <c r="K46" s="245"/>
    </row>
    <row r="47" spans="1:15" ht="12.75" customHeight="1" x14ac:dyDescent="0.25">
      <c r="A47" s="9"/>
      <c r="B47" s="209" t="s">
        <v>94</v>
      </c>
      <c r="C47" s="210"/>
      <c r="D47" s="201"/>
      <c r="E47" s="297">
        <f>SUM(E5:E46)+E43+E44+E39</f>
        <v>1885</v>
      </c>
      <c r="F47" s="211"/>
      <c r="G47" s="212">
        <f>SUM(G5:G46)</f>
        <v>34187.96</v>
      </c>
      <c r="H47" s="212">
        <f>SUM(H5:H46)</f>
        <v>11179.462920000004</v>
      </c>
      <c r="I47" s="212">
        <f>SUM(I5:I46)</f>
        <v>45367.422920000012</v>
      </c>
      <c r="J47" s="9" t="s">
        <v>22</v>
      </c>
      <c r="K47" s="245"/>
      <c r="M47" s="273">
        <f>I1-G47</f>
        <v>2.4999999950523488E-3</v>
      </c>
    </row>
    <row r="48" spans="1:15" s="15" customFormat="1" ht="1.5" customHeight="1" x14ac:dyDescent="0.25">
      <c r="A48" s="16"/>
      <c r="B48" s="21"/>
      <c r="C48" s="22"/>
      <c r="D48" s="23"/>
      <c r="E48" s="213"/>
      <c r="F48" s="213"/>
      <c r="G48" s="214"/>
      <c r="H48" s="214"/>
      <c r="I48" s="214"/>
      <c r="K48" s="246"/>
      <c r="L48" s="2"/>
      <c r="M48" s="2"/>
      <c r="N48" s="32"/>
      <c r="O48" s="32"/>
    </row>
    <row r="49" spans="1:15" s="1" customFormat="1" ht="5.25" customHeight="1" thickBot="1" x14ac:dyDescent="0.3">
      <c r="A49" s="135"/>
      <c r="B49" s="135"/>
      <c r="C49" s="17"/>
      <c r="E49" s="315"/>
      <c r="F49" s="316"/>
      <c r="G49" s="316"/>
      <c r="H49" s="316"/>
      <c r="I49" s="317"/>
      <c r="K49" s="135"/>
      <c r="L49" s="2"/>
      <c r="M49" s="2"/>
      <c r="N49" s="32"/>
      <c r="O49" s="32"/>
    </row>
    <row r="50" spans="1:15" ht="20.25" customHeight="1" x14ac:dyDescent="0.2">
      <c r="A50" s="129"/>
      <c r="B50" s="130" t="s">
        <v>0</v>
      </c>
      <c r="C50" s="131" t="s">
        <v>32</v>
      </c>
      <c r="D50" s="131" t="s">
        <v>11</v>
      </c>
      <c r="E50" s="131" t="s">
        <v>2</v>
      </c>
      <c r="F50" s="131" t="s">
        <v>3</v>
      </c>
      <c r="G50" s="132" t="s">
        <v>4</v>
      </c>
      <c r="H50" s="132" t="s">
        <v>5</v>
      </c>
      <c r="I50" s="132" t="s">
        <v>6</v>
      </c>
      <c r="J50" s="133" t="s">
        <v>31</v>
      </c>
      <c r="K50" s="247"/>
    </row>
    <row r="51" spans="1:15" ht="13.5" customHeight="1" x14ac:dyDescent="0.2">
      <c r="A51" s="98" t="s">
        <v>7</v>
      </c>
      <c r="B51" s="20" t="s">
        <v>38</v>
      </c>
      <c r="C51" s="6">
        <v>15</v>
      </c>
      <c r="D51" s="11"/>
      <c r="E51" s="6">
        <v>135</v>
      </c>
      <c r="F51" s="6">
        <v>12.5</v>
      </c>
      <c r="G51" s="33">
        <f t="shared" ref="G51:G58" si="7">E51*F51</f>
        <v>1687.5</v>
      </c>
      <c r="H51" s="11">
        <f t="shared" ref="H51:H59" si="8">G51*32.7/100</f>
        <v>551.81250000000011</v>
      </c>
      <c r="I51" s="31">
        <f t="shared" ref="I51:I59" si="9">G51+H51</f>
        <v>2239.3125</v>
      </c>
      <c r="J51" s="126" t="s">
        <v>22</v>
      </c>
      <c r="K51" s="245"/>
    </row>
    <row r="52" spans="1:15" ht="19.5" customHeight="1" x14ac:dyDescent="0.2">
      <c r="A52" s="98" t="s">
        <v>7</v>
      </c>
      <c r="B52" s="26" t="s">
        <v>29</v>
      </c>
      <c r="C52" s="6">
        <v>14</v>
      </c>
      <c r="D52" s="6" t="s">
        <v>13</v>
      </c>
      <c r="E52" s="6">
        <v>53</v>
      </c>
      <c r="F52" s="6">
        <v>12.5</v>
      </c>
      <c r="G52" s="33">
        <f t="shared" si="7"/>
        <v>662.5</v>
      </c>
      <c r="H52" s="33">
        <f t="shared" si="8"/>
        <v>216.63750000000005</v>
      </c>
      <c r="I52" s="31">
        <f t="shared" si="9"/>
        <v>879.13750000000005</v>
      </c>
      <c r="J52" s="126" t="s">
        <v>22</v>
      </c>
      <c r="K52" s="167"/>
    </row>
    <row r="53" spans="1:15" ht="19.5" customHeight="1" x14ac:dyDescent="0.2">
      <c r="A53" s="98" t="s">
        <v>7</v>
      </c>
      <c r="B53" s="26" t="s">
        <v>30</v>
      </c>
      <c r="C53" s="6">
        <v>14</v>
      </c>
      <c r="D53" s="6" t="s">
        <v>13</v>
      </c>
      <c r="E53" s="6">
        <v>101</v>
      </c>
      <c r="F53" s="6">
        <v>12.5</v>
      </c>
      <c r="G53" s="33">
        <f t="shared" si="7"/>
        <v>1262.5</v>
      </c>
      <c r="H53" s="33">
        <f t="shared" si="8"/>
        <v>412.83749999999998</v>
      </c>
      <c r="I53" s="31">
        <f t="shared" si="9"/>
        <v>1675.3375000000001</v>
      </c>
      <c r="J53" s="126" t="s">
        <v>22</v>
      </c>
      <c r="K53" s="167"/>
    </row>
    <row r="54" spans="1:15" ht="12.75" customHeight="1" x14ac:dyDescent="0.2">
      <c r="A54" s="98" t="s">
        <v>7</v>
      </c>
      <c r="B54" s="26" t="s">
        <v>110</v>
      </c>
      <c r="C54" s="6">
        <v>7</v>
      </c>
      <c r="D54" s="12" t="s">
        <v>12</v>
      </c>
      <c r="E54" s="293">
        <v>57</v>
      </c>
      <c r="F54" s="293">
        <v>12.5</v>
      </c>
      <c r="G54" s="33">
        <f>E54*F54</f>
        <v>712.5</v>
      </c>
      <c r="H54" s="33">
        <f t="shared" si="8"/>
        <v>232.98750000000004</v>
      </c>
      <c r="I54" s="31">
        <f>G54+H54</f>
        <v>945.48750000000007</v>
      </c>
      <c r="J54" s="126" t="s">
        <v>22</v>
      </c>
      <c r="K54" s="167"/>
    </row>
    <row r="55" spans="1:15" ht="12.75" customHeight="1" x14ac:dyDescent="0.2">
      <c r="A55" s="98" t="s">
        <v>7</v>
      </c>
      <c r="B55" s="26" t="s">
        <v>79</v>
      </c>
      <c r="C55" s="6">
        <v>3</v>
      </c>
      <c r="D55" s="12" t="s">
        <v>12</v>
      </c>
      <c r="E55" s="293">
        <v>15</v>
      </c>
      <c r="F55" s="293">
        <v>12.5</v>
      </c>
      <c r="G55" s="33">
        <f>E55*F55</f>
        <v>187.5</v>
      </c>
      <c r="H55" s="33">
        <f t="shared" si="8"/>
        <v>61.312500000000007</v>
      </c>
      <c r="I55" s="31">
        <f>G55+H55</f>
        <v>248.8125</v>
      </c>
      <c r="J55" s="126" t="s">
        <v>22</v>
      </c>
      <c r="K55" s="167"/>
    </row>
    <row r="56" spans="1:15" ht="12.75" customHeight="1" x14ac:dyDescent="0.2">
      <c r="A56" s="98" t="s">
        <v>7</v>
      </c>
      <c r="B56" s="26" t="s">
        <v>99</v>
      </c>
      <c r="C56" s="6">
        <v>3</v>
      </c>
      <c r="D56" s="12" t="s">
        <v>12</v>
      </c>
      <c r="E56" s="293">
        <v>53</v>
      </c>
      <c r="F56" s="293">
        <v>12.5</v>
      </c>
      <c r="G56" s="33">
        <f>E56*F56</f>
        <v>662.5</v>
      </c>
      <c r="H56" s="33">
        <f t="shared" si="8"/>
        <v>216.63750000000005</v>
      </c>
      <c r="I56" s="31">
        <f>G56+H56</f>
        <v>879.13750000000005</v>
      </c>
      <c r="J56" s="126"/>
      <c r="K56" s="167"/>
    </row>
    <row r="57" spans="1:15" ht="28.5" customHeight="1" x14ac:dyDescent="0.2">
      <c r="A57" s="98" t="s">
        <v>7</v>
      </c>
      <c r="B57" s="26" t="s">
        <v>116</v>
      </c>
      <c r="C57" s="6">
        <v>12</v>
      </c>
      <c r="D57" s="12" t="s">
        <v>12</v>
      </c>
      <c r="E57" s="293">
        <v>56</v>
      </c>
      <c r="F57" s="293">
        <v>12.5</v>
      </c>
      <c r="G57" s="33">
        <f t="shared" si="7"/>
        <v>700</v>
      </c>
      <c r="H57" s="33">
        <f t="shared" si="8"/>
        <v>228.90000000000003</v>
      </c>
      <c r="I57" s="31">
        <f t="shared" si="9"/>
        <v>928.90000000000009</v>
      </c>
      <c r="J57" s="126" t="s">
        <v>22</v>
      </c>
      <c r="K57" s="167"/>
    </row>
    <row r="58" spans="1:15" ht="18" customHeight="1" x14ac:dyDescent="0.2">
      <c r="A58" s="98" t="s">
        <v>7</v>
      </c>
      <c r="B58" s="26" t="s">
        <v>149</v>
      </c>
      <c r="C58" s="6">
        <v>3</v>
      </c>
      <c r="D58" s="12" t="s">
        <v>12</v>
      </c>
      <c r="E58" s="293">
        <v>42</v>
      </c>
      <c r="F58" s="293">
        <v>12.5</v>
      </c>
      <c r="G58" s="33">
        <f t="shared" si="7"/>
        <v>525</v>
      </c>
      <c r="H58" s="33">
        <f t="shared" si="8"/>
        <v>171.67500000000001</v>
      </c>
      <c r="I58" s="31">
        <f t="shared" si="9"/>
        <v>696.67499999999995</v>
      </c>
      <c r="J58" s="126" t="s">
        <v>22</v>
      </c>
      <c r="K58" s="167"/>
    </row>
    <row r="59" spans="1:15" ht="12" customHeight="1" x14ac:dyDescent="0.2">
      <c r="A59" s="98" t="s">
        <v>7</v>
      </c>
      <c r="B59" s="26" t="s">
        <v>160</v>
      </c>
      <c r="C59" s="6"/>
      <c r="D59" s="12"/>
      <c r="E59" s="6"/>
      <c r="F59" s="6"/>
      <c r="G59" s="33">
        <v>382.73</v>
      </c>
      <c r="H59" s="33">
        <f t="shared" si="8"/>
        <v>125.15271000000003</v>
      </c>
      <c r="I59" s="31">
        <f t="shared" si="9"/>
        <v>507.88271000000003</v>
      </c>
      <c r="J59" s="126" t="s">
        <v>22</v>
      </c>
      <c r="K59" s="167"/>
    </row>
    <row r="60" spans="1:15" ht="13.5" thickBot="1" x14ac:dyDescent="0.25">
      <c r="A60" s="99"/>
      <c r="B60" s="134"/>
      <c r="C60" s="194" t="s">
        <v>9</v>
      </c>
      <c r="D60" s="291"/>
      <c r="E60" s="295">
        <f>SUM(E51:E59)</f>
        <v>512</v>
      </c>
      <c r="F60" s="194"/>
      <c r="G60" s="195">
        <f>SUM(G51:G59)</f>
        <v>6782.73</v>
      </c>
      <c r="H60" s="195">
        <f>SUM(H51:H59)</f>
        <v>2217.95271</v>
      </c>
      <c r="I60" s="195">
        <f>SUM(I51:I59)</f>
        <v>9000.6827099999991</v>
      </c>
      <c r="J60" s="110" t="s">
        <v>22</v>
      </c>
      <c r="K60" s="167"/>
    </row>
    <row r="61" spans="1:15" ht="12" customHeight="1" x14ac:dyDescent="0.2">
      <c r="A61" s="94" t="s">
        <v>8</v>
      </c>
      <c r="B61" s="144" t="s">
        <v>37</v>
      </c>
      <c r="C61" s="119">
        <v>3</v>
      </c>
      <c r="D61" s="12" t="s">
        <v>12</v>
      </c>
      <c r="E61" s="294">
        <v>90</v>
      </c>
      <c r="F61" s="294">
        <v>14.5</v>
      </c>
      <c r="G61" s="97">
        <f>E61*F61</f>
        <v>1305</v>
      </c>
      <c r="H61" s="97">
        <f t="shared" ref="H61:H69" si="10">G61*32.7/100</f>
        <v>426.73500000000007</v>
      </c>
      <c r="I61" s="97">
        <f t="shared" ref="I61:I69" si="11">G61+H61</f>
        <v>1731.7350000000001</v>
      </c>
      <c r="J61" s="125" t="s">
        <v>22</v>
      </c>
      <c r="K61" s="167"/>
    </row>
    <row r="62" spans="1:15" ht="12" customHeight="1" x14ac:dyDescent="0.2">
      <c r="A62" s="98" t="s">
        <v>8</v>
      </c>
      <c r="B62" s="10" t="s">
        <v>38</v>
      </c>
      <c r="C62" s="6">
        <v>3</v>
      </c>
      <c r="D62" s="12" t="s">
        <v>12</v>
      </c>
      <c r="E62" s="293">
        <v>21</v>
      </c>
      <c r="F62" s="293">
        <v>14.5</v>
      </c>
      <c r="G62" s="33">
        <f t="shared" ref="G62:G68" si="12">E62*F62</f>
        <v>304.5</v>
      </c>
      <c r="H62" s="33">
        <f t="shared" si="10"/>
        <v>99.571500000000015</v>
      </c>
      <c r="I62" s="33">
        <f t="shared" si="11"/>
        <v>404.07150000000001</v>
      </c>
      <c r="J62" s="126" t="s">
        <v>22</v>
      </c>
      <c r="K62" s="167"/>
    </row>
    <row r="63" spans="1:15" ht="12" customHeight="1" x14ac:dyDescent="0.2">
      <c r="A63" s="98" t="s">
        <v>8</v>
      </c>
      <c r="B63" s="10" t="s">
        <v>25</v>
      </c>
      <c r="C63" s="6">
        <v>1</v>
      </c>
      <c r="D63" s="12" t="s">
        <v>12</v>
      </c>
      <c r="E63" s="293">
        <v>5</v>
      </c>
      <c r="F63" s="293">
        <v>14.5</v>
      </c>
      <c r="G63" s="33">
        <f t="shared" si="12"/>
        <v>72.5</v>
      </c>
      <c r="H63" s="33">
        <f t="shared" si="10"/>
        <v>23.7075</v>
      </c>
      <c r="I63" s="33">
        <f t="shared" si="11"/>
        <v>96.207499999999996</v>
      </c>
      <c r="J63" s="126" t="s">
        <v>22</v>
      </c>
      <c r="K63" s="167"/>
    </row>
    <row r="64" spans="1:15" ht="12" customHeight="1" x14ac:dyDescent="0.2">
      <c r="A64" s="98" t="s">
        <v>8</v>
      </c>
      <c r="B64" s="59" t="s">
        <v>100</v>
      </c>
      <c r="C64" s="6">
        <v>3</v>
      </c>
      <c r="D64" s="12" t="s">
        <v>12</v>
      </c>
      <c r="E64" s="293">
        <v>9</v>
      </c>
      <c r="F64" s="293">
        <v>14.5</v>
      </c>
      <c r="G64" s="33">
        <f t="shared" si="12"/>
        <v>130.5</v>
      </c>
      <c r="H64" s="33">
        <f t="shared" si="10"/>
        <v>42.673500000000004</v>
      </c>
      <c r="I64" s="33">
        <f t="shared" si="11"/>
        <v>173.17349999999999</v>
      </c>
      <c r="J64" s="126" t="s">
        <v>22</v>
      </c>
      <c r="K64" s="167"/>
    </row>
    <row r="65" spans="1:15" ht="12" customHeight="1" x14ac:dyDescent="0.2">
      <c r="A65" s="98" t="s">
        <v>8</v>
      </c>
      <c r="B65" s="26" t="s">
        <v>123</v>
      </c>
      <c r="C65" s="6">
        <v>3</v>
      </c>
      <c r="D65" s="12" t="s">
        <v>12</v>
      </c>
      <c r="E65" s="293">
        <v>20</v>
      </c>
      <c r="F65" s="293">
        <v>14.5</v>
      </c>
      <c r="G65" s="33">
        <f t="shared" si="12"/>
        <v>290</v>
      </c>
      <c r="H65" s="33">
        <f t="shared" si="10"/>
        <v>94.83</v>
      </c>
      <c r="I65" s="33">
        <f t="shared" si="11"/>
        <v>384.83</v>
      </c>
      <c r="J65" s="126" t="s">
        <v>22</v>
      </c>
      <c r="K65" s="167"/>
    </row>
    <row r="66" spans="1:15" ht="12" customHeight="1" x14ac:dyDescent="0.2">
      <c r="A66" s="98" t="s">
        <v>8</v>
      </c>
      <c r="B66" s="26" t="s">
        <v>62</v>
      </c>
      <c r="C66" s="6">
        <v>1</v>
      </c>
      <c r="D66" s="12" t="s">
        <v>12</v>
      </c>
      <c r="E66" s="293">
        <v>15</v>
      </c>
      <c r="F66" s="293">
        <v>14.5</v>
      </c>
      <c r="G66" s="33">
        <f t="shared" si="12"/>
        <v>217.5</v>
      </c>
      <c r="H66" s="33">
        <f t="shared" si="10"/>
        <v>71.122500000000002</v>
      </c>
      <c r="I66" s="33">
        <f t="shared" si="11"/>
        <v>288.6225</v>
      </c>
      <c r="J66" s="126" t="s">
        <v>22</v>
      </c>
      <c r="K66" s="167"/>
    </row>
    <row r="67" spans="1:15" ht="12" customHeight="1" x14ac:dyDescent="0.2">
      <c r="A67" s="98" t="s">
        <v>8</v>
      </c>
      <c r="B67" s="26" t="s">
        <v>124</v>
      </c>
      <c r="C67" s="6">
        <v>1</v>
      </c>
      <c r="D67" s="12" t="s">
        <v>12</v>
      </c>
      <c r="E67" s="293">
        <v>10</v>
      </c>
      <c r="F67" s="293">
        <v>14.5</v>
      </c>
      <c r="G67" s="33">
        <f t="shared" si="12"/>
        <v>145</v>
      </c>
      <c r="H67" s="33">
        <f t="shared" si="10"/>
        <v>47.414999999999999</v>
      </c>
      <c r="I67" s="33">
        <f t="shared" si="11"/>
        <v>192.41499999999999</v>
      </c>
      <c r="J67" s="126" t="s">
        <v>22</v>
      </c>
      <c r="K67" s="167"/>
    </row>
    <row r="68" spans="1:15" ht="12" customHeight="1" x14ac:dyDescent="0.2">
      <c r="A68" s="98" t="s">
        <v>153</v>
      </c>
      <c r="B68" s="177" t="s">
        <v>154</v>
      </c>
      <c r="C68" s="6">
        <v>1</v>
      </c>
      <c r="D68" s="12" t="s">
        <v>12</v>
      </c>
      <c r="E68" s="293">
        <v>10</v>
      </c>
      <c r="F68" s="293">
        <v>14.5</v>
      </c>
      <c r="G68" s="33">
        <f t="shared" si="12"/>
        <v>145</v>
      </c>
      <c r="H68" s="33">
        <f t="shared" si="10"/>
        <v>47.414999999999999</v>
      </c>
      <c r="I68" s="33">
        <f t="shared" si="11"/>
        <v>192.41499999999999</v>
      </c>
      <c r="J68" s="126" t="s">
        <v>22</v>
      </c>
      <c r="K68" s="167"/>
    </row>
    <row r="69" spans="1:15" ht="12" customHeight="1" x14ac:dyDescent="0.2">
      <c r="A69" s="98" t="s">
        <v>8</v>
      </c>
      <c r="B69" s="26" t="s">
        <v>160</v>
      </c>
      <c r="C69" s="272"/>
      <c r="D69" s="175"/>
      <c r="E69" s="272"/>
      <c r="F69" s="272"/>
      <c r="G69" s="33">
        <v>1200</v>
      </c>
      <c r="H69" s="33">
        <f t="shared" si="10"/>
        <v>392.4</v>
      </c>
      <c r="I69" s="33">
        <f t="shared" si="11"/>
        <v>1592.4</v>
      </c>
      <c r="J69" s="126" t="s">
        <v>22</v>
      </c>
      <c r="K69" s="167"/>
    </row>
    <row r="70" spans="1:15" ht="15" customHeight="1" thickBot="1" x14ac:dyDescent="0.25">
      <c r="A70" s="127"/>
      <c r="B70" s="128"/>
      <c r="C70" s="194" t="s">
        <v>9</v>
      </c>
      <c r="D70" s="194"/>
      <c r="E70" s="295">
        <f>SUM(E61:E68)</f>
        <v>180</v>
      </c>
      <c r="F70" s="194"/>
      <c r="G70" s="195">
        <f>SUM(G61:G69)</f>
        <v>3810</v>
      </c>
      <c r="H70" s="195">
        <f>SUM(H61:H69)</f>
        <v>1245.8699999999999</v>
      </c>
      <c r="I70" s="195">
        <f>SUM(I61:I69)</f>
        <v>5055.87</v>
      </c>
      <c r="J70" s="126" t="s">
        <v>22</v>
      </c>
      <c r="K70" s="167"/>
    </row>
    <row r="71" spans="1:15" ht="21.75" customHeight="1" thickBot="1" x14ac:dyDescent="0.25">
      <c r="A71" s="9" t="s">
        <v>16</v>
      </c>
      <c r="B71" s="77" t="s">
        <v>181</v>
      </c>
      <c r="C71" s="77"/>
      <c r="D71" s="274"/>
      <c r="E71" s="194"/>
      <c r="F71" s="194"/>
      <c r="G71" s="195">
        <v>803.26</v>
      </c>
      <c r="H71" s="195">
        <f t="shared" ref="H71" si="13">G71*32.7/100</f>
        <v>262.66602</v>
      </c>
      <c r="I71" s="195">
        <f t="shared" ref="I71" si="14">G71+H71</f>
        <v>1065.9260199999999</v>
      </c>
      <c r="J71" s="126"/>
      <c r="K71" s="167"/>
    </row>
    <row r="72" spans="1:15" ht="16.5" customHeight="1" thickBot="1" x14ac:dyDescent="0.25">
      <c r="A72" s="99"/>
      <c r="B72" s="109"/>
      <c r="C72" s="191" t="s">
        <v>10</v>
      </c>
      <c r="D72" s="192"/>
      <c r="E72" s="296">
        <f>E60+E70</f>
        <v>692</v>
      </c>
      <c r="F72" s="191">
        <f>F60+F70</f>
        <v>0</v>
      </c>
      <c r="G72" s="193">
        <f>G60+G70+G71</f>
        <v>11395.99</v>
      </c>
      <c r="H72" s="193">
        <f t="shared" ref="H72:I72" si="15">H60+H70+H71</f>
        <v>3726.48873</v>
      </c>
      <c r="I72" s="193">
        <f t="shared" si="15"/>
        <v>15122.478729999999</v>
      </c>
      <c r="J72" s="126" t="s">
        <v>22</v>
      </c>
      <c r="K72" s="167"/>
      <c r="M72" s="273"/>
    </row>
    <row r="73" spans="1:15" ht="18.75" customHeight="1" thickBot="1" x14ac:dyDescent="0.3">
      <c r="A73" s="99"/>
      <c r="B73" s="182"/>
      <c r="C73" s="183"/>
      <c r="D73" s="179"/>
      <c r="E73" s="178"/>
      <c r="F73" s="180" t="s">
        <v>111</v>
      </c>
      <c r="G73" s="184">
        <f>G47+G72</f>
        <v>45583.95</v>
      </c>
      <c r="H73" s="184">
        <f>H47+H72</f>
        <v>14905.951650000003</v>
      </c>
      <c r="I73" s="184">
        <f>I47+I72</f>
        <v>60489.901650000014</v>
      </c>
      <c r="J73" s="124"/>
      <c r="K73" s="167"/>
    </row>
    <row r="74" spans="1:15" ht="13.5" customHeight="1" x14ac:dyDescent="0.2">
      <c r="A74" s="94" t="s">
        <v>19</v>
      </c>
      <c r="B74" s="177" t="s">
        <v>26</v>
      </c>
      <c r="C74" s="119"/>
      <c r="D74" s="120"/>
      <c r="E74" s="119"/>
      <c r="F74" s="119"/>
      <c r="G74" s="97">
        <v>2880</v>
      </c>
      <c r="H74" s="97">
        <f>G74*32.7/100</f>
        <v>941.7600000000001</v>
      </c>
      <c r="I74" s="97">
        <f>G74+H74</f>
        <v>3821.76</v>
      </c>
      <c r="J74" s="121" t="s">
        <v>22</v>
      </c>
      <c r="K74" s="167"/>
    </row>
    <row r="75" spans="1:15" ht="13.5" customHeight="1" x14ac:dyDescent="0.2">
      <c r="A75" s="98" t="s">
        <v>8</v>
      </c>
      <c r="B75" s="177" t="s">
        <v>27</v>
      </c>
      <c r="C75" s="6">
        <v>1</v>
      </c>
      <c r="D75" s="12" t="s">
        <v>28</v>
      </c>
      <c r="E75" s="6"/>
      <c r="F75" s="6"/>
      <c r="G75" s="33">
        <v>325.2</v>
      </c>
      <c r="H75" s="33">
        <f t="shared" ref="H75" si="16">G75*32.7/100</f>
        <v>106.3404</v>
      </c>
      <c r="I75" s="33">
        <f t="shared" ref="I75" si="17">G75+H75</f>
        <v>431.54039999999998</v>
      </c>
      <c r="J75" s="108" t="s">
        <v>22</v>
      </c>
      <c r="K75" s="167"/>
      <c r="M75" s="24"/>
    </row>
    <row r="76" spans="1:15" ht="12" customHeight="1" thickBot="1" x14ac:dyDescent="0.25">
      <c r="A76" s="68"/>
      <c r="B76" s="122"/>
      <c r="C76" s="100" t="s">
        <v>9</v>
      </c>
      <c r="D76" s="123"/>
      <c r="E76" s="101"/>
      <c r="F76" s="101"/>
      <c r="G76" s="102">
        <f>SUM(G74:G75)</f>
        <v>3205.2</v>
      </c>
      <c r="H76" s="69">
        <f>SUM(H74:H75)</f>
        <v>1048.1004</v>
      </c>
      <c r="I76" s="69">
        <f>SUM(I74:I75)</f>
        <v>4253.3004000000001</v>
      </c>
      <c r="J76" s="124"/>
      <c r="K76" s="167"/>
      <c r="M76" s="24"/>
    </row>
    <row r="77" spans="1:15" ht="15" customHeight="1" thickBot="1" x14ac:dyDescent="0.35">
      <c r="A77" s="68"/>
      <c r="B77" s="257"/>
      <c r="C77" s="258"/>
      <c r="D77" s="259"/>
      <c r="E77" s="260"/>
      <c r="F77" s="261" t="s">
        <v>112</v>
      </c>
      <c r="G77" s="262">
        <f>G73+G76</f>
        <v>48789.149999999994</v>
      </c>
      <c r="H77" s="262">
        <f t="shared" ref="H77:I77" si="18">H73+H76</f>
        <v>15954.052050000002</v>
      </c>
      <c r="I77" s="262">
        <f t="shared" si="18"/>
        <v>64743.202050000014</v>
      </c>
      <c r="J77" s="124"/>
      <c r="K77" s="167"/>
    </row>
    <row r="78" spans="1:15" ht="9.75" customHeight="1" thickBot="1" x14ac:dyDescent="0.25"/>
    <row r="79" spans="1:15" s="27" customFormat="1" ht="27" customHeight="1" thickBot="1" x14ac:dyDescent="0.25">
      <c r="A79" s="103"/>
      <c r="B79" s="104" t="s">
        <v>0</v>
      </c>
      <c r="C79" s="105" t="s">
        <v>33</v>
      </c>
      <c r="D79" s="104"/>
      <c r="E79" s="104" t="s">
        <v>34</v>
      </c>
      <c r="F79" s="104" t="s">
        <v>36</v>
      </c>
      <c r="G79" s="106" t="s">
        <v>4</v>
      </c>
      <c r="H79" s="106" t="s">
        <v>5</v>
      </c>
      <c r="I79" s="106" t="s">
        <v>6</v>
      </c>
      <c r="J79" s="107"/>
      <c r="K79" s="169"/>
      <c r="N79" s="34"/>
      <c r="O79" s="34"/>
    </row>
    <row r="80" spans="1:15" ht="21.75" customHeight="1" thickBot="1" x14ac:dyDescent="0.25">
      <c r="A80" s="67" t="s">
        <v>14</v>
      </c>
      <c r="B80" s="238" t="s">
        <v>158</v>
      </c>
      <c r="C80" s="208"/>
      <c r="D80" s="208" t="s">
        <v>129</v>
      </c>
      <c r="E80" s="271">
        <v>7</v>
      </c>
      <c r="F80" s="208"/>
      <c r="G80" s="208">
        <v>2982.18</v>
      </c>
      <c r="H80" s="208">
        <f>G80*32.7/100</f>
        <v>975.17286000000013</v>
      </c>
      <c r="I80" s="208">
        <f>G80+H80</f>
        <v>3957.35286</v>
      </c>
      <c r="J80" s="108" t="s">
        <v>22</v>
      </c>
      <c r="K80" s="167"/>
    </row>
    <row r="81" spans="1:15" ht="15.75" customHeight="1" thickBot="1" x14ac:dyDescent="0.25">
      <c r="A81" s="226"/>
      <c r="B81" s="228"/>
      <c r="C81" s="229"/>
      <c r="D81" s="230"/>
      <c r="E81" s="231"/>
      <c r="F81" s="231"/>
      <c r="G81" s="232"/>
      <c r="H81" s="232"/>
      <c r="I81" s="233"/>
      <c r="J81" s="234"/>
      <c r="K81" s="167"/>
    </row>
    <row r="82" spans="1:15" ht="21" customHeight="1" x14ac:dyDescent="0.2">
      <c r="A82" s="227"/>
      <c r="B82" s="104" t="s">
        <v>0</v>
      </c>
      <c r="C82" s="105" t="s">
        <v>33</v>
      </c>
      <c r="D82" s="104"/>
      <c r="E82" s="104" t="s">
        <v>34</v>
      </c>
      <c r="F82" s="104" t="s">
        <v>36</v>
      </c>
      <c r="G82" s="106" t="s">
        <v>4</v>
      </c>
      <c r="H82" s="106" t="s">
        <v>5</v>
      </c>
      <c r="I82" s="106" t="s">
        <v>6</v>
      </c>
      <c r="J82" s="108"/>
      <c r="K82" s="167"/>
    </row>
    <row r="83" spans="1:15" ht="15.75" customHeight="1" x14ac:dyDescent="0.2">
      <c r="A83" s="145" t="s">
        <v>16</v>
      </c>
      <c r="B83" s="216" t="s">
        <v>162</v>
      </c>
      <c r="C83" s="217" t="s">
        <v>17</v>
      </c>
      <c r="D83" s="218"/>
      <c r="E83" s="219">
        <v>2</v>
      </c>
      <c r="F83" s="219"/>
      <c r="G83" s="220">
        <v>1200</v>
      </c>
      <c r="H83" s="220">
        <f>G83*32.7/100</f>
        <v>392.4</v>
      </c>
      <c r="I83" s="221">
        <f>G83+H83</f>
        <v>1592.4</v>
      </c>
      <c r="J83" s="108" t="s">
        <v>22</v>
      </c>
      <c r="K83" s="167"/>
    </row>
    <row r="84" spans="1:15" ht="15.75" customHeight="1" x14ac:dyDescent="0.2">
      <c r="A84" s="145" t="s">
        <v>16</v>
      </c>
      <c r="B84" s="216" t="s">
        <v>163</v>
      </c>
      <c r="C84" s="217" t="s">
        <v>82</v>
      </c>
      <c r="D84" s="218"/>
      <c r="E84" s="219">
        <v>2</v>
      </c>
      <c r="F84" s="219"/>
      <c r="G84" s="220">
        <v>617.27</v>
      </c>
      <c r="H84" s="220">
        <f>G84*32.7/100</f>
        <v>201.84728999999999</v>
      </c>
      <c r="I84" s="221">
        <f>G84+H84</f>
        <v>819.11728999999991</v>
      </c>
      <c r="J84" s="108" t="s">
        <v>22</v>
      </c>
      <c r="K84" s="167"/>
    </row>
    <row r="85" spans="1:15" ht="15.75" customHeight="1" thickBot="1" x14ac:dyDescent="0.25">
      <c r="A85" s="146"/>
      <c r="B85" s="225" t="s">
        <v>114</v>
      </c>
      <c r="C85" s="222"/>
      <c r="D85" s="223"/>
      <c r="E85" s="222"/>
      <c r="F85" s="222"/>
      <c r="G85" s="224">
        <f>SUM(G83:G84)</f>
        <v>1817.27</v>
      </c>
      <c r="H85" s="224">
        <f t="shared" ref="H85:I85" si="19">SUM(H83:H84)</f>
        <v>594.24729000000002</v>
      </c>
      <c r="I85" s="224">
        <f t="shared" si="19"/>
        <v>2411.5172899999998</v>
      </c>
      <c r="J85" s="108" t="s">
        <v>22</v>
      </c>
      <c r="K85" s="167"/>
    </row>
    <row r="86" spans="1:15" ht="16.5" customHeight="1" x14ac:dyDescent="0.2">
      <c r="A86" s="185" t="s">
        <v>113</v>
      </c>
      <c r="B86" s="111"/>
      <c r="C86" s="95"/>
      <c r="D86" s="96"/>
      <c r="E86" s="95"/>
      <c r="F86" s="95"/>
      <c r="G86" s="112"/>
      <c r="H86" s="112"/>
      <c r="I86" s="112"/>
      <c r="J86" s="116"/>
      <c r="K86" s="167"/>
    </row>
    <row r="87" spans="1:15" s="13" customFormat="1" ht="20.25" customHeight="1" x14ac:dyDescent="0.2">
      <c r="A87" s="113"/>
      <c r="B87" s="28" t="s">
        <v>0</v>
      </c>
      <c r="C87" s="14" t="s">
        <v>1</v>
      </c>
      <c r="D87" s="14"/>
      <c r="E87" s="14"/>
      <c r="F87" s="14"/>
      <c r="G87" s="30" t="s">
        <v>4</v>
      </c>
      <c r="H87" s="30" t="s">
        <v>5</v>
      </c>
      <c r="I87" s="30" t="s">
        <v>6</v>
      </c>
      <c r="J87" s="117"/>
      <c r="K87" s="170"/>
      <c r="N87" s="73"/>
      <c r="O87" s="73"/>
    </row>
    <row r="88" spans="1:15" ht="17.25" customHeight="1" x14ac:dyDescent="0.2">
      <c r="A88" s="98" t="s">
        <v>14</v>
      </c>
      <c r="B88" s="19" t="s">
        <v>20</v>
      </c>
      <c r="C88" s="4" t="s">
        <v>24</v>
      </c>
      <c r="D88" s="7"/>
      <c r="E88" s="25"/>
      <c r="F88" s="5"/>
      <c r="G88" s="29">
        <v>2913.92</v>
      </c>
      <c r="H88" s="29">
        <f>G88*32.7/100</f>
        <v>952.85184000000004</v>
      </c>
      <c r="I88" s="29">
        <f>G88+H88+0.02</f>
        <v>3866.7918400000003</v>
      </c>
      <c r="J88" s="118" t="s">
        <v>22</v>
      </c>
      <c r="K88" s="168"/>
      <c r="M88" s="24"/>
    </row>
    <row r="89" spans="1:15" ht="17.25" customHeight="1" x14ac:dyDescent="0.2">
      <c r="A89" s="98" t="s">
        <v>14</v>
      </c>
      <c r="B89" s="19" t="s">
        <v>21</v>
      </c>
      <c r="C89" s="4">
        <v>1</v>
      </c>
      <c r="D89" s="7"/>
      <c r="E89" s="4"/>
      <c r="F89" s="5"/>
      <c r="G89" s="29">
        <v>384.6</v>
      </c>
      <c r="H89" s="29">
        <f>G89*32.7/100</f>
        <v>125.76420000000002</v>
      </c>
      <c r="I89" s="29">
        <f>G89+H89</f>
        <v>510.36420000000004</v>
      </c>
      <c r="J89" s="118" t="s">
        <v>22</v>
      </c>
      <c r="K89" s="168"/>
    </row>
    <row r="90" spans="1:15" ht="17.25" customHeight="1" x14ac:dyDescent="0.2">
      <c r="A90" s="98" t="s">
        <v>14</v>
      </c>
      <c r="B90" s="19" t="s">
        <v>152</v>
      </c>
      <c r="C90" s="4" t="s">
        <v>24</v>
      </c>
      <c r="D90" s="7"/>
      <c r="E90" s="4"/>
      <c r="F90" s="5"/>
      <c r="G90" s="29">
        <v>788.31</v>
      </c>
      <c r="H90" s="29">
        <f>G90*32.7/100</f>
        <v>257.77737000000002</v>
      </c>
      <c r="I90" s="29">
        <f>G90+H90</f>
        <v>1046.08737</v>
      </c>
      <c r="J90" s="118" t="s">
        <v>22</v>
      </c>
      <c r="K90" s="168"/>
    </row>
    <row r="91" spans="1:15" ht="12" customHeight="1" x14ac:dyDescent="0.2">
      <c r="A91" s="9" t="s">
        <v>14</v>
      </c>
      <c r="B91" s="28" t="s">
        <v>168</v>
      </c>
      <c r="C91" s="4"/>
      <c r="D91" s="197"/>
      <c r="E91" s="198"/>
      <c r="F91" s="199"/>
      <c r="G91" s="200"/>
      <c r="H91" s="200"/>
      <c r="I91" s="200"/>
      <c r="J91" s="118"/>
      <c r="K91" s="168"/>
    </row>
    <row r="92" spans="1:15" s="27" customFormat="1" ht="12" customHeight="1" thickBot="1" x14ac:dyDescent="0.25">
      <c r="A92" s="114"/>
      <c r="B92" s="109"/>
      <c r="C92" s="115"/>
      <c r="D92" s="202" t="s">
        <v>23</v>
      </c>
      <c r="E92" s="203"/>
      <c r="F92" s="204"/>
      <c r="G92" s="205">
        <f>SUM(G88:G91)</f>
        <v>4086.83</v>
      </c>
      <c r="H92" s="205">
        <f>SUM(H88:H89)+H90</f>
        <v>1336.3934100000001</v>
      </c>
      <c r="I92" s="205">
        <f>SUM(I88:I91)</f>
        <v>5423.2434100000009</v>
      </c>
      <c r="J92" s="196"/>
      <c r="K92" s="169"/>
      <c r="N92" s="34"/>
      <c r="O92" s="34"/>
    </row>
    <row r="93" spans="1:15" s="27" customFormat="1" ht="15.75" customHeight="1" thickBot="1" x14ac:dyDescent="0.3">
      <c r="A93" s="186"/>
      <c r="B93" s="318" t="s">
        <v>78</v>
      </c>
      <c r="C93" s="318"/>
      <c r="D93" s="318"/>
      <c r="E93" s="318"/>
      <c r="F93" s="318"/>
      <c r="G93" s="263">
        <f>G77+G85+G92+G80</f>
        <v>57675.429999999993</v>
      </c>
      <c r="H93" s="263">
        <f>H77+H85+H92+H80</f>
        <v>18859.865610000001</v>
      </c>
      <c r="I93" s="263">
        <f>I77+I85+I92+I80</f>
        <v>76535.315610000005</v>
      </c>
      <c r="J93" s="196"/>
      <c r="N93" s="34"/>
      <c r="O93" s="34"/>
    </row>
    <row r="94" spans="1:15" ht="2.25" customHeight="1" x14ac:dyDescent="0.2">
      <c r="G94" s="34"/>
      <c r="H94" s="34"/>
      <c r="I94" s="34"/>
    </row>
    <row r="95" spans="1:15" x14ac:dyDescent="0.2">
      <c r="C95" s="8"/>
      <c r="E95" s="309" t="s">
        <v>141</v>
      </c>
      <c r="F95" s="309"/>
      <c r="G95" s="267">
        <f>57675.43-G93</f>
        <v>0</v>
      </c>
    </row>
    <row r="96" spans="1:15" x14ac:dyDescent="0.2">
      <c r="B96" s="299" t="s">
        <v>178</v>
      </c>
      <c r="C96" s="300"/>
      <c r="D96" s="300"/>
      <c r="E96" s="300"/>
      <c r="F96" s="300"/>
      <c r="G96" s="301">
        <f>G45+G71</f>
        <v>3769.05</v>
      </c>
    </row>
  </sheetData>
  <mergeCells count="6">
    <mergeCell ref="E95:F95"/>
    <mergeCell ref="B1:B2"/>
    <mergeCell ref="C3:E3"/>
    <mergeCell ref="K5:K11"/>
    <mergeCell ref="E49:I49"/>
    <mergeCell ref="B93:F93"/>
  </mergeCells>
  <pageMargins left="0.7" right="0.7" top="0.75" bottom="0.75" header="0.3" footer="0.3"/>
  <pageSetup paperSize="9" scale="5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5"/>
  <sheetViews>
    <sheetView workbookViewId="0">
      <selection activeCell="G19" sqref="G19"/>
    </sheetView>
  </sheetViews>
  <sheetFormatPr defaultRowHeight="11.25" x14ac:dyDescent="0.2"/>
  <cols>
    <col min="1" max="1" width="29" style="35" customWidth="1"/>
    <col min="2" max="2" width="7.7109375" style="36" customWidth="1"/>
    <col min="3" max="3" width="9.5703125" style="36" customWidth="1"/>
    <col min="4" max="4" width="9.85546875" style="35" customWidth="1"/>
    <col min="5" max="5" width="8.5703125" style="35" customWidth="1"/>
    <col min="6" max="6" width="8.85546875" style="35" customWidth="1"/>
    <col min="7" max="7" width="9.42578125" style="35" customWidth="1"/>
    <col min="8" max="8" width="7.5703125" style="35" customWidth="1"/>
    <col min="9" max="9" width="7" style="35" customWidth="1"/>
    <col min="10" max="10" width="6.85546875" style="35" customWidth="1"/>
    <col min="11" max="11" width="5.42578125" style="35" customWidth="1"/>
    <col min="12" max="12" width="7" style="35" customWidth="1"/>
    <col min="13" max="13" width="9" style="35" customWidth="1"/>
    <col min="14" max="14" width="21.42578125" style="37" customWidth="1"/>
    <col min="15" max="15" width="8.85546875" style="35" customWidth="1"/>
    <col min="16" max="16" width="9.85546875" style="35" customWidth="1"/>
    <col min="17" max="17" width="10.140625" style="35" customWidth="1"/>
    <col min="18" max="18" width="12.42578125" style="35" customWidth="1"/>
    <col min="19" max="19" width="9.140625" style="35"/>
    <col min="20" max="20" width="10.28515625" style="35" customWidth="1"/>
    <col min="21" max="22" width="7.140625" style="35" customWidth="1"/>
    <col min="23" max="23" width="20.5703125" style="38" customWidth="1"/>
    <col min="24" max="24" width="8.140625" style="35" customWidth="1"/>
    <col min="25" max="25" width="8.7109375" style="35" customWidth="1"/>
    <col min="26" max="26" width="9.42578125" style="35" bestFit="1" customWidth="1"/>
    <col min="27" max="16384" width="9.140625" style="35"/>
  </cols>
  <sheetData>
    <row r="1" spans="1:23" x14ac:dyDescent="0.2">
      <c r="A1" s="35" t="s">
        <v>146</v>
      </c>
    </row>
    <row r="2" spans="1:23" s="43" customFormat="1" ht="45" customHeight="1" x14ac:dyDescent="0.15">
      <c r="A2" s="39"/>
      <c r="B2" s="39" t="s">
        <v>97</v>
      </c>
      <c r="C2" s="39" t="s">
        <v>39</v>
      </c>
      <c r="D2" s="39" t="s">
        <v>40</v>
      </c>
      <c r="E2" s="39" t="s">
        <v>107</v>
      </c>
      <c r="F2" s="39" t="s">
        <v>108</v>
      </c>
      <c r="G2" s="39" t="s">
        <v>98</v>
      </c>
      <c r="H2" s="39" t="s">
        <v>41</v>
      </c>
      <c r="I2" s="39" t="s">
        <v>148</v>
      </c>
      <c r="J2" s="39" t="s">
        <v>42</v>
      </c>
      <c r="K2" s="39" t="s">
        <v>43</v>
      </c>
      <c r="L2" s="39" t="s">
        <v>9</v>
      </c>
      <c r="M2" s="40" t="s">
        <v>44</v>
      </c>
      <c r="N2" s="40"/>
      <c r="O2" s="254" t="s">
        <v>45</v>
      </c>
      <c r="P2" s="41" t="s">
        <v>46</v>
      </c>
      <c r="Q2" s="39" t="s">
        <v>47</v>
      </c>
      <c r="R2" s="42"/>
      <c r="S2" s="42"/>
      <c r="T2" s="42"/>
    </row>
    <row r="3" spans="1:23" x14ac:dyDescent="0.2">
      <c r="A3" s="44" t="s">
        <v>48</v>
      </c>
      <c r="B3" s="65">
        <v>9</v>
      </c>
      <c r="C3" s="65">
        <v>5</v>
      </c>
      <c r="D3" s="65">
        <v>3</v>
      </c>
      <c r="E3" s="45">
        <v>7</v>
      </c>
      <c r="F3" s="45"/>
      <c r="G3" s="45">
        <v>11</v>
      </c>
      <c r="H3" s="45">
        <v>2</v>
      </c>
      <c r="I3" s="45"/>
      <c r="J3" s="45"/>
      <c r="K3" s="45"/>
      <c r="L3" s="46">
        <f>SUM(B3:K3)</f>
        <v>37</v>
      </c>
      <c r="M3" s="47">
        <f t="shared" ref="M3:M15" si="0">L3*12.5</f>
        <v>462.5</v>
      </c>
      <c r="N3" s="48" t="str">
        <f>A3</f>
        <v>BARAIOLO DINA SP TRAONA</v>
      </c>
      <c r="O3" s="46"/>
      <c r="P3" s="49">
        <v>600</v>
      </c>
      <c r="Q3" s="49">
        <f t="shared" ref="Q3:Q13" si="1">M3+O3+P3</f>
        <v>1062.5</v>
      </c>
      <c r="R3" s="50"/>
      <c r="S3" s="50"/>
      <c r="T3" s="50"/>
    </row>
    <row r="4" spans="1:23" x14ac:dyDescent="0.2">
      <c r="A4" s="44" t="s">
        <v>144</v>
      </c>
      <c r="B4" s="65">
        <v>18</v>
      </c>
      <c r="C4" s="65">
        <v>4</v>
      </c>
      <c r="D4" s="65">
        <v>1</v>
      </c>
      <c r="E4" s="45"/>
      <c r="F4" s="45"/>
      <c r="G4" s="45"/>
      <c r="H4" s="45">
        <v>2</v>
      </c>
      <c r="I4" s="45"/>
      <c r="J4" s="45"/>
      <c r="K4" s="45"/>
      <c r="L4" s="46">
        <f t="shared" ref="L4:L17" si="2">SUM(B4:K4)</f>
        <v>25</v>
      </c>
      <c r="M4" s="47">
        <f t="shared" si="0"/>
        <v>312.5</v>
      </c>
      <c r="N4" s="48" t="str">
        <f t="shared" ref="N4:N13" si="3">A4</f>
        <v>PORTA MARGHERITA SI TRAONA</v>
      </c>
      <c r="O4" s="46"/>
      <c r="P4" s="49">
        <v>600</v>
      </c>
      <c r="Q4" s="49">
        <f t="shared" si="1"/>
        <v>912.5</v>
      </c>
      <c r="R4" s="50"/>
      <c r="S4" s="50"/>
      <c r="T4" s="50"/>
    </row>
    <row r="5" spans="1:23" x14ac:dyDescent="0.2">
      <c r="A5" s="51" t="s">
        <v>95</v>
      </c>
      <c r="B5" s="65">
        <v>9</v>
      </c>
      <c r="C5" s="65">
        <v>0</v>
      </c>
      <c r="D5" s="65">
        <v>0</v>
      </c>
      <c r="E5" s="45">
        <v>3</v>
      </c>
      <c r="F5" s="45"/>
      <c r="G5" s="45"/>
      <c r="H5" s="45">
        <v>2</v>
      </c>
      <c r="I5" s="45"/>
      <c r="J5" s="45">
        <v>10</v>
      </c>
      <c r="K5" s="45"/>
      <c r="L5" s="46">
        <f t="shared" si="2"/>
        <v>24</v>
      </c>
      <c r="M5" s="52">
        <f t="shared" si="0"/>
        <v>300</v>
      </c>
      <c r="N5" s="48" t="str">
        <f t="shared" si="3"/>
        <v>CARNA ORESTE SP Mello</v>
      </c>
      <c r="O5" s="53">
        <v>600</v>
      </c>
      <c r="P5" s="49"/>
      <c r="Q5" s="49">
        <f t="shared" si="1"/>
        <v>900</v>
      </c>
      <c r="R5" s="50"/>
      <c r="S5" s="50"/>
      <c r="T5" s="50"/>
    </row>
    <row r="6" spans="1:23" x14ac:dyDescent="0.2">
      <c r="A6" s="44" t="s">
        <v>102</v>
      </c>
      <c r="B6" s="65">
        <v>4</v>
      </c>
      <c r="C6" s="65">
        <v>4</v>
      </c>
      <c r="D6" s="65">
        <v>2</v>
      </c>
      <c r="E6" s="45"/>
      <c r="F6" s="45"/>
      <c r="G6" s="45"/>
      <c r="H6" s="45">
        <v>2</v>
      </c>
      <c r="I6" s="45"/>
      <c r="J6" s="45"/>
      <c r="K6" s="45"/>
      <c r="L6" s="46">
        <f t="shared" si="2"/>
        <v>12</v>
      </c>
      <c r="M6" s="52">
        <f t="shared" si="0"/>
        <v>150</v>
      </c>
      <c r="N6" s="48" t="str">
        <f t="shared" si="3"/>
        <v>DELLA BAILA ANTONIA  p.t. 24/36</v>
      </c>
      <c r="O6" s="46"/>
      <c r="P6" s="49">
        <v>400</v>
      </c>
      <c r="Q6" s="49">
        <f t="shared" si="1"/>
        <v>550</v>
      </c>
      <c r="R6" s="50"/>
      <c r="S6" s="50"/>
      <c r="T6" s="50"/>
    </row>
    <row r="7" spans="1:23" ht="17.25" x14ac:dyDescent="0.2">
      <c r="A7" s="51" t="s">
        <v>49</v>
      </c>
      <c r="B7" s="65">
        <v>9</v>
      </c>
      <c r="C7" s="65">
        <v>4</v>
      </c>
      <c r="D7" s="65">
        <v>3</v>
      </c>
      <c r="E7" s="45">
        <v>7</v>
      </c>
      <c r="F7" s="45"/>
      <c r="G7" s="45">
        <v>9</v>
      </c>
      <c r="H7" s="45">
        <v>2</v>
      </c>
      <c r="I7" s="45"/>
      <c r="J7" s="45"/>
      <c r="K7" s="45"/>
      <c r="L7" s="46">
        <f t="shared" si="2"/>
        <v>34</v>
      </c>
      <c r="M7" s="47">
        <f t="shared" si="0"/>
        <v>425</v>
      </c>
      <c r="N7" s="48" t="str">
        <f t="shared" si="3"/>
        <v>CODAZZI NANDA CHIARA SP MANTELLO</v>
      </c>
      <c r="O7" s="46"/>
      <c r="P7" s="49">
        <v>600</v>
      </c>
      <c r="Q7" s="49">
        <f t="shared" si="1"/>
        <v>1025</v>
      </c>
      <c r="R7" s="50"/>
      <c r="S7" s="50"/>
      <c r="T7" s="50"/>
    </row>
    <row r="8" spans="1:23" x14ac:dyDescent="0.2">
      <c r="A8" s="44" t="s">
        <v>96</v>
      </c>
      <c r="B8" s="65">
        <v>9</v>
      </c>
      <c r="C8" s="65">
        <v>4</v>
      </c>
      <c r="D8" s="65">
        <v>3</v>
      </c>
      <c r="E8" s="45">
        <v>7</v>
      </c>
      <c r="F8" s="45"/>
      <c r="G8" s="45">
        <v>11</v>
      </c>
      <c r="H8" s="45">
        <v>2</v>
      </c>
      <c r="I8" s="45"/>
      <c r="J8" s="45">
        <v>20</v>
      </c>
      <c r="K8" s="45"/>
      <c r="L8" s="46">
        <f t="shared" si="2"/>
        <v>56</v>
      </c>
      <c r="M8" s="47">
        <f t="shared" si="0"/>
        <v>700</v>
      </c>
      <c r="N8" s="48" t="str">
        <f t="shared" si="3"/>
        <v>SANDRINI CARMELO SP TRAONA</v>
      </c>
      <c r="O8" s="53"/>
      <c r="P8" s="49">
        <v>600</v>
      </c>
      <c r="Q8" s="49">
        <f t="shared" si="1"/>
        <v>1300</v>
      </c>
      <c r="R8" s="50"/>
      <c r="S8" s="50"/>
      <c r="T8" s="50"/>
    </row>
    <row r="9" spans="1:23" ht="18.75" customHeight="1" x14ac:dyDescent="0.2">
      <c r="A9" s="44" t="s">
        <v>142</v>
      </c>
      <c r="B9" s="65">
        <v>4</v>
      </c>
      <c r="C9" s="65">
        <v>4</v>
      </c>
      <c r="D9" s="65">
        <v>2</v>
      </c>
      <c r="E9" s="45"/>
      <c r="F9" s="45"/>
      <c r="G9" s="45"/>
      <c r="H9" s="45">
        <v>2</v>
      </c>
      <c r="I9" s="45"/>
      <c r="J9" s="45"/>
      <c r="K9" s="45"/>
      <c r="L9" s="46">
        <f t="shared" si="2"/>
        <v>12</v>
      </c>
      <c r="M9" s="47">
        <f t="shared" si="0"/>
        <v>150</v>
      </c>
      <c r="N9" s="48" t="s">
        <v>147</v>
      </c>
      <c r="O9" s="47">
        <v>400</v>
      </c>
      <c r="P9" s="49"/>
      <c r="Q9" s="49">
        <f t="shared" si="1"/>
        <v>550</v>
      </c>
      <c r="R9" s="50"/>
      <c r="S9" s="50"/>
      <c r="T9" s="50"/>
    </row>
    <row r="10" spans="1:23" ht="17.25" x14ac:dyDescent="0.2">
      <c r="A10" s="44" t="s">
        <v>133</v>
      </c>
      <c r="B10" s="65">
        <v>7</v>
      </c>
      <c r="C10" s="65">
        <v>4</v>
      </c>
      <c r="D10" s="65">
        <v>0</v>
      </c>
      <c r="E10" s="45"/>
      <c r="F10" s="45"/>
      <c r="G10" s="45"/>
      <c r="H10" s="45">
        <v>2</v>
      </c>
      <c r="I10" s="45"/>
      <c r="J10" s="45"/>
      <c r="K10" s="45"/>
      <c r="L10" s="46">
        <f t="shared" si="2"/>
        <v>13</v>
      </c>
      <c r="M10" s="47">
        <f t="shared" si="0"/>
        <v>162.5</v>
      </c>
      <c r="N10" s="48" t="str">
        <f t="shared" si="3"/>
        <v>CIOCCHINI CLAUDIA SI TRAONA 28/36</v>
      </c>
      <c r="O10" s="46"/>
      <c r="P10" s="49">
        <v>600</v>
      </c>
      <c r="Q10" s="49">
        <f t="shared" si="1"/>
        <v>762.5</v>
      </c>
      <c r="R10" s="50"/>
      <c r="S10" s="50"/>
      <c r="T10" s="50"/>
    </row>
    <row r="11" spans="1:23" x14ac:dyDescent="0.2">
      <c r="A11" s="44" t="s">
        <v>60</v>
      </c>
      <c r="B11" s="65">
        <v>12</v>
      </c>
      <c r="C11" s="65">
        <v>4</v>
      </c>
      <c r="D11" s="65">
        <v>25</v>
      </c>
      <c r="E11" s="45">
        <v>7</v>
      </c>
      <c r="F11" s="45">
        <v>5</v>
      </c>
      <c r="G11" s="45">
        <v>1</v>
      </c>
      <c r="H11" s="45">
        <v>2</v>
      </c>
      <c r="I11" s="45"/>
      <c r="J11" s="45"/>
      <c r="K11" s="45"/>
      <c r="L11" s="46">
        <f t="shared" si="2"/>
        <v>56</v>
      </c>
      <c r="M11" s="47">
        <f t="shared" si="0"/>
        <v>700</v>
      </c>
      <c r="N11" s="48" t="str">
        <f t="shared" si="3"/>
        <v>GAGGINI GABRIELLA SSIG TRAONA</v>
      </c>
      <c r="O11" s="46"/>
      <c r="P11" s="49">
        <v>600</v>
      </c>
      <c r="Q11" s="49">
        <f t="shared" si="1"/>
        <v>1300</v>
      </c>
      <c r="R11" s="50"/>
      <c r="S11" s="50"/>
      <c r="T11" s="50"/>
    </row>
    <row r="12" spans="1:23" x14ac:dyDescent="0.2">
      <c r="A12" s="44" t="s">
        <v>50</v>
      </c>
      <c r="B12" s="65">
        <v>12</v>
      </c>
      <c r="C12" s="65">
        <v>4</v>
      </c>
      <c r="D12" s="65">
        <v>25</v>
      </c>
      <c r="E12" s="45">
        <v>7</v>
      </c>
      <c r="F12" s="45">
        <v>5</v>
      </c>
      <c r="G12" s="45">
        <v>1</v>
      </c>
      <c r="H12" s="45">
        <v>2</v>
      </c>
      <c r="I12" s="45"/>
      <c r="J12" s="45"/>
      <c r="K12" s="45"/>
      <c r="L12" s="46">
        <f t="shared" si="2"/>
        <v>56</v>
      </c>
      <c r="M12" s="47">
        <f t="shared" si="0"/>
        <v>700</v>
      </c>
      <c r="N12" s="48" t="str">
        <f t="shared" si="3"/>
        <v>QUAINI MILVA SSIG TRAONA</v>
      </c>
      <c r="O12" s="46"/>
      <c r="P12" s="49">
        <v>600</v>
      </c>
      <c r="Q12" s="49">
        <f t="shared" si="1"/>
        <v>1300</v>
      </c>
      <c r="R12" s="50"/>
      <c r="S12" s="50"/>
      <c r="T12" s="50"/>
      <c r="W12" s="35"/>
    </row>
    <row r="13" spans="1:23" ht="17.25" x14ac:dyDescent="0.2">
      <c r="A13" s="44" t="s">
        <v>51</v>
      </c>
      <c r="B13" s="65">
        <v>12</v>
      </c>
      <c r="C13" s="65">
        <v>4</v>
      </c>
      <c r="D13" s="65">
        <v>25</v>
      </c>
      <c r="E13" s="36">
        <v>7</v>
      </c>
      <c r="F13" s="45">
        <v>5</v>
      </c>
      <c r="G13" s="45">
        <v>1</v>
      </c>
      <c r="H13" s="45">
        <v>2</v>
      </c>
      <c r="I13" s="45"/>
      <c r="J13" s="45"/>
      <c r="K13" s="45"/>
      <c r="L13" s="46">
        <f t="shared" si="2"/>
        <v>56</v>
      </c>
      <c r="M13" s="47">
        <f t="shared" si="0"/>
        <v>700</v>
      </c>
      <c r="N13" s="48" t="str">
        <f t="shared" si="3"/>
        <v>SALVETTI ELEONORA SSIG TRAONA</v>
      </c>
      <c r="O13" s="46"/>
      <c r="P13" s="49">
        <v>600</v>
      </c>
      <c r="Q13" s="49">
        <f t="shared" si="1"/>
        <v>1300</v>
      </c>
      <c r="R13" s="50"/>
      <c r="S13" s="50"/>
      <c r="T13" s="50"/>
      <c r="W13" s="35"/>
    </row>
    <row r="14" spans="1:23" x14ac:dyDescent="0.2">
      <c r="A14" s="44" t="s">
        <v>164</v>
      </c>
      <c r="B14" s="65">
        <v>9</v>
      </c>
      <c r="C14" s="65">
        <v>4</v>
      </c>
      <c r="D14" s="65">
        <v>3</v>
      </c>
      <c r="E14" s="45"/>
      <c r="F14" s="45"/>
      <c r="G14" s="45">
        <v>4</v>
      </c>
      <c r="H14" s="45">
        <v>2</v>
      </c>
      <c r="I14" s="45">
        <v>15</v>
      </c>
      <c r="J14" s="45"/>
      <c r="K14" s="45"/>
      <c r="L14" s="46">
        <f t="shared" si="2"/>
        <v>37</v>
      </c>
      <c r="M14" s="47">
        <f t="shared" si="0"/>
        <v>462.5</v>
      </c>
      <c r="N14" s="48"/>
      <c r="O14" s="53"/>
      <c r="P14" s="49"/>
      <c r="Q14" s="49"/>
      <c r="R14" s="50"/>
      <c r="S14" s="50"/>
      <c r="T14" s="50"/>
      <c r="W14" s="35"/>
    </row>
    <row r="15" spans="1:23" x14ac:dyDescent="0.2">
      <c r="A15" s="44" t="s">
        <v>143</v>
      </c>
      <c r="B15" s="65">
        <v>7</v>
      </c>
      <c r="C15" s="65">
        <v>4</v>
      </c>
      <c r="D15" s="65">
        <v>3</v>
      </c>
      <c r="E15" s="45">
        <v>5</v>
      </c>
      <c r="F15" s="45"/>
      <c r="G15" s="45">
        <v>6</v>
      </c>
      <c r="H15" s="45"/>
      <c r="I15" s="45"/>
      <c r="J15" s="45"/>
      <c r="K15" s="45"/>
      <c r="L15" s="46">
        <f t="shared" si="2"/>
        <v>25</v>
      </c>
      <c r="M15" s="47">
        <f t="shared" si="0"/>
        <v>312.5</v>
      </c>
      <c r="N15" s="48"/>
      <c r="O15" s="53"/>
      <c r="P15" s="49"/>
      <c r="Q15" s="49"/>
      <c r="R15" s="50"/>
      <c r="S15" s="50"/>
      <c r="T15" s="50"/>
      <c r="W15" s="35"/>
    </row>
    <row r="16" spans="1:23" x14ac:dyDescent="0.2">
      <c r="A16" s="44" t="s">
        <v>165</v>
      </c>
      <c r="B16" s="65">
        <v>7</v>
      </c>
      <c r="C16" s="65">
        <v>4</v>
      </c>
      <c r="D16" s="65">
        <v>3</v>
      </c>
      <c r="E16" s="45">
        <v>7</v>
      </c>
      <c r="F16" s="45"/>
      <c r="G16" s="45">
        <v>9</v>
      </c>
      <c r="H16" s="45">
        <v>2</v>
      </c>
      <c r="I16" s="45"/>
      <c r="J16" s="45"/>
      <c r="K16" s="45"/>
      <c r="L16" s="46">
        <f t="shared" ref="L16" si="4">SUM(B16:K16)</f>
        <v>32</v>
      </c>
      <c r="M16" s="47">
        <f t="shared" ref="M16" si="5">L16*12.5</f>
        <v>400</v>
      </c>
      <c r="N16" s="48"/>
      <c r="O16" s="53"/>
      <c r="P16" s="49"/>
      <c r="Q16" s="49"/>
      <c r="R16" s="50"/>
      <c r="S16" s="50"/>
      <c r="T16" s="50"/>
      <c r="W16" s="35"/>
    </row>
    <row r="17" spans="1:23" x14ac:dyDescent="0.2">
      <c r="A17" s="44" t="s">
        <v>166</v>
      </c>
      <c r="B17" s="65">
        <v>7</v>
      </c>
      <c r="C17" s="65"/>
      <c r="D17" s="65">
        <v>3</v>
      </c>
      <c r="E17" s="45"/>
      <c r="F17" s="45"/>
      <c r="G17" s="45"/>
      <c r="H17" s="45"/>
      <c r="I17" s="45">
        <v>27</v>
      </c>
      <c r="J17" s="45"/>
      <c r="K17" s="45"/>
      <c r="L17" s="46">
        <f t="shared" si="2"/>
        <v>37</v>
      </c>
      <c r="M17" s="47">
        <f t="shared" ref="M17" si="6">L17*12.5</f>
        <v>462.5</v>
      </c>
      <c r="N17" s="48"/>
      <c r="O17" s="53"/>
      <c r="P17" s="49"/>
      <c r="Q17" s="49"/>
      <c r="R17" s="50"/>
      <c r="S17" s="50"/>
      <c r="T17" s="50"/>
      <c r="W17" s="35"/>
    </row>
    <row r="18" spans="1:23" ht="12.75" x14ac:dyDescent="0.2">
      <c r="A18" s="44" t="s">
        <v>167</v>
      </c>
      <c r="B18" s="65"/>
      <c r="C18" s="65"/>
      <c r="D18" s="65"/>
      <c r="E18" s="45"/>
      <c r="F18" s="45"/>
      <c r="G18" s="45"/>
      <c r="H18" s="45"/>
      <c r="I18" s="45"/>
      <c r="J18" s="45"/>
      <c r="K18" s="45"/>
      <c r="L18" s="46"/>
      <c r="M18" s="33">
        <v>382.73</v>
      </c>
      <c r="N18" s="48"/>
      <c r="O18" s="53"/>
      <c r="P18" s="49"/>
      <c r="Q18" s="49"/>
      <c r="R18" s="50"/>
      <c r="S18" s="50"/>
      <c r="T18" s="50"/>
      <c r="W18" s="35"/>
    </row>
    <row r="19" spans="1:23" x14ac:dyDescent="0.2">
      <c r="A19" s="54" t="s">
        <v>9</v>
      </c>
      <c r="B19" s="45">
        <f t="shared" ref="B19:L19" si="7">SUM(B3:B17)</f>
        <v>135</v>
      </c>
      <c r="C19" s="45">
        <f t="shared" si="7"/>
        <v>53</v>
      </c>
      <c r="D19" s="45">
        <f t="shared" si="7"/>
        <v>101</v>
      </c>
      <c r="E19" s="45">
        <f t="shared" si="7"/>
        <v>57</v>
      </c>
      <c r="F19" s="45">
        <f t="shared" si="7"/>
        <v>15</v>
      </c>
      <c r="G19" s="45">
        <f t="shared" si="7"/>
        <v>53</v>
      </c>
      <c r="H19" s="45">
        <f t="shared" si="7"/>
        <v>26</v>
      </c>
      <c r="I19" s="45">
        <f t="shared" si="7"/>
        <v>42</v>
      </c>
      <c r="J19" s="45">
        <f t="shared" si="7"/>
        <v>30</v>
      </c>
      <c r="K19" s="45">
        <f t="shared" si="7"/>
        <v>0</v>
      </c>
      <c r="L19" s="45">
        <f t="shared" si="7"/>
        <v>512</v>
      </c>
      <c r="M19" s="47">
        <f>SUM(M3:M18)</f>
        <v>6782.73</v>
      </c>
      <c r="N19" s="56" t="s">
        <v>52</v>
      </c>
      <c r="O19" s="53">
        <f>SUM(O3:O15)</f>
        <v>1000</v>
      </c>
      <c r="P19" s="57">
        <f>SUM(P3:P13)</f>
        <v>5200</v>
      </c>
      <c r="Q19" s="57">
        <f>SUM(Q3:Q13)</f>
        <v>10962.5</v>
      </c>
      <c r="R19" s="50"/>
      <c r="S19" s="50"/>
      <c r="T19" s="50"/>
      <c r="W19" s="35"/>
    </row>
    <row r="20" spans="1:23" x14ac:dyDescent="0.2">
      <c r="K20" s="35" t="s">
        <v>109</v>
      </c>
      <c r="M20" s="47">
        <f>M19</f>
        <v>6782.73</v>
      </c>
    </row>
    <row r="24" spans="1:23" s="58" customFormat="1" ht="36" x14ac:dyDescent="0.15">
      <c r="B24" s="59" t="s">
        <v>156</v>
      </c>
      <c r="C24" s="60" t="s">
        <v>38</v>
      </c>
      <c r="D24" s="60" t="s">
        <v>53</v>
      </c>
      <c r="E24" s="59" t="s">
        <v>61</v>
      </c>
      <c r="F24" s="59" t="s">
        <v>54</v>
      </c>
      <c r="G24" s="59" t="s">
        <v>122</v>
      </c>
      <c r="H24" s="59" t="s">
        <v>62</v>
      </c>
      <c r="I24" s="59" t="s">
        <v>155</v>
      </c>
      <c r="J24" s="59" t="s">
        <v>55</v>
      </c>
      <c r="K24" s="10" t="s">
        <v>121</v>
      </c>
      <c r="L24" s="10" t="s">
        <v>9</v>
      </c>
      <c r="M24" s="10" t="s">
        <v>56</v>
      </c>
      <c r="N24" s="61" t="s">
        <v>57</v>
      </c>
      <c r="O24" s="255" t="s">
        <v>58</v>
      </c>
      <c r="P24" s="62" t="s">
        <v>46</v>
      </c>
      <c r="Q24" s="10" t="s">
        <v>47</v>
      </c>
    </row>
    <row r="25" spans="1:23" x14ac:dyDescent="0.2">
      <c r="A25" s="46" t="s">
        <v>59</v>
      </c>
      <c r="B25" s="55">
        <v>30</v>
      </c>
      <c r="C25" s="55">
        <v>7</v>
      </c>
      <c r="D25" s="46"/>
      <c r="E25" s="46">
        <v>3</v>
      </c>
      <c r="F25" s="46"/>
      <c r="G25" s="46">
        <v>5</v>
      </c>
      <c r="H25" s="46">
        <v>5</v>
      </c>
      <c r="I25" s="46"/>
      <c r="J25" s="46"/>
      <c r="K25" s="46"/>
      <c r="L25" s="46">
        <f>SUM(B25:K25)</f>
        <v>50</v>
      </c>
      <c r="M25" s="47">
        <f>L25*14.5</f>
        <v>725</v>
      </c>
      <c r="N25" s="49"/>
      <c r="O25" s="47"/>
      <c r="P25" s="49">
        <v>1200</v>
      </c>
      <c r="Q25" s="49">
        <f>O25+P25</f>
        <v>1200</v>
      </c>
    </row>
    <row r="26" spans="1:23" x14ac:dyDescent="0.2">
      <c r="A26" s="46" t="s">
        <v>105</v>
      </c>
      <c r="B26" s="55">
        <v>30</v>
      </c>
      <c r="C26" s="55">
        <v>7</v>
      </c>
      <c r="D26" s="46"/>
      <c r="E26" s="46">
        <v>3</v>
      </c>
      <c r="F26" s="46"/>
      <c r="G26" s="46">
        <v>10</v>
      </c>
      <c r="H26" s="46"/>
      <c r="I26" s="46"/>
      <c r="J26" s="46"/>
      <c r="K26" s="46"/>
      <c r="L26" s="46">
        <f t="shared" ref="L26:L29" si="8">SUM(B26:K26)</f>
        <v>50</v>
      </c>
      <c r="M26" s="47">
        <f t="shared" ref="M26:M29" si="9">L26*14.5</f>
        <v>725</v>
      </c>
      <c r="N26" s="46" t="s">
        <v>105</v>
      </c>
      <c r="O26" s="290">
        <v>1200</v>
      </c>
      <c r="P26" s="49"/>
      <c r="Q26" s="49">
        <f t="shared" ref="Q26:Q29" si="10">O26+P26</f>
        <v>1200</v>
      </c>
    </row>
    <row r="27" spans="1:23" x14ac:dyDescent="0.2">
      <c r="A27" s="46" t="s">
        <v>81</v>
      </c>
      <c r="B27" s="55">
        <v>30</v>
      </c>
      <c r="C27" s="55">
        <v>7</v>
      </c>
      <c r="D27" s="46">
        <v>5</v>
      </c>
      <c r="E27" s="46">
        <v>3</v>
      </c>
      <c r="F27" s="46"/>
      <c r="G27" s="46">
        <v>5</v>
      </c>
      <c r="H27" s="46"/>
      <c r="I27" s="46"/>
      <c r="J27" s="46"/>
      <c r="K27" s="46"/>
      <c r="L27" s="46">
        <f t="shared" si="8"/>
        <v>50</v>
      </c>
      <c r="M27" s="47">
        <f>L27*14.5</f>
        <v>725</v>
      </c>
      <c r="N27" s="46" t="s">
        <v>81</v>
      </c>
      <c r="O27" s="290">
        <v>1200</v>
      </c>
      <c r="P27" s="49"/>
      <c r="Q27" s="49">
        <f t="shared" si="10"/>
        <v>1200</v>
      </c>
    </row>
    <row r="28" spans="1:23" x14ac:dyDescent="0.2">
      <c r="A28" s="46" t="s">
        <v>145</v>
      </c>
      <c r="B28" s="55"/>
      <c r="C28" s="55"/>
      <c r="D28" s="46"/>
      <c r="E28" s="46"/>
      <c r="F28" s="46"/>
      <c r="G28" s="46"/>
      <c r="H28" s="46">
        <v>10</v>
      </c>
      <c r="I28" s="46"/>
      <c r="J28" s="46"/>
      <c r="K28" s="46">
        <v>10</v>
      </c>
      <c r="L28" s="46">
        <f t="shared" si="8"/>
        <v>20</v>
      </c>
      <c r="M28" s="47">
        <f t="shared" si="9"/>
        <v>290</v>
      </c>
      <c r="N28" s="63"/>
      <c r="O28" s="49"/>
      <c r="P28" s="49"/>
      <c r="Q28" s="49">
        <f t="shared" si="10"/>
        <v>0</v>
      </c>
    </row>
    <row r="29" spans="1:23" x14ac:dyDescent="0.2">
      <c r="A29" s="46" t="s">
        <v>161</v>
      </c>
      <c r="B29" s="55"/>
      <c r="C29" s="55"/>
      <c r="D29" s="46"/>
      <c r="E29" s="46"/>
      <c r="F29" s="46"/>
      <c r="G29" s="46"/>
      <c r="H29" s="46"/>
      <c r="I29" s="46">
        <v>10</v>
      </c>
      <c r="J29" s="46"/>
      <c r="K29" s="46"/>
      <c r="L29" s="46">
        <f t="shared" si="8"/>
        <v>10</v>
      </c>
      <c r="M29" s="47">
        <f t="shared" si="9"/>
        <v>145</v>
      </c>
      <c r="N29" s="63"/>
      <c r="O29" s="49"/>
      <c r="P29" s="49"/>
      <c r="Q29" s="49">
        <f t="shared" si="10"/>
        <v>0</v>
      </c>
    </row>
    <row r="30" spans="1:23" x14ac:dyDescent="0.2">
      <c r="A30" s="44" t="s">
        <v>167</v>
      </c>
      <c r="B30" s="55"/>
      <c r="C30" s="55"/>
      <c r="D30" s="46"/>
      <c r="E30" s="46"/>
      <c r="F30" s="46"/>
      <c r="G30" s="46"/>
      <c r="H30" s="46"/>
      <c r="I30" s="46"/>
      <c r="J30" s="46"/>
      <c r="K30" s="46"/>
      <c r="L30" s="46">
        <f>SUM(B30:K30)</f>
        <v>0</v>
      </c>
      <c r="M30" s="47">
        <v>1200</v>
      </c>
      <c r="N30" s="63"/>
      <c r="O30" s="49"/>
      <c r="P30" s="49"/>
      <c r="Q30" s="49"/>
    </row>
    <row r="31" spans="1:23" x14ac:dyDescent="0.2">
      <c r="B31" s="55">
        <f>SUM(B25:B29)</f>
        <v>90</v>
      </c>
      <c r="C31" s="55">
        <f t="shared" ref="C31:K31" si="11">SUM(C25:C29)</f>
        <v>21</v>
      </c>
      <c r="D31" s="55">
        <f t="shared" si="11"/>
        <v>5</v>
      </c>
      <c r="E31" s="55">
        <f t="shared" si="11"/>
        <v>9</v>
      </c>
      <c r="F31" s="55">
        <f t="shared" si="11"/>
        <v>0</v>
      </c>
      <c r="G31" s="55">
        <f t="shared" si="11"/>
        <v>20</v>
      </c>
      <c r="H31" s="55">
        <f t="shared" si="11"/>
        <v>15</v>
      </c>
      <c r="I31" s="55">
        <f t="shared" si="11"/>
        <v>10</v>
      </c>
      <c r="J31" s="55">
        <f t="shared" si="11"/>
        <v>0</v>
      </c>
      <c r="K31" s="55">
        <f t="shared" si="11"/>
        <v>10</v>
      </c>
      <c r="L31" s="55">
        <f>SUM(L25:L29)</f>
        <v>180</v>
      </c>
      <c r="M31" s="47">
        <f>SUM(M25:M30)</f>
        <v>3810</v>
      </c>
      <c r="N31" s="63">
        <f>SUM(N25:N29)</f>
        <v>0</v>
      </c>
      <c r="O31" s="290">
        <f>SUM(O25:O29)</f>
        <v>2400</v>
      </c>
      <c r="P31" s="49">
        <f t="shared" ref="P31:Q31" si="12">SUM(P25:P29)</f>
        <v>1200</v>
      </c>
      <c r="Q31" s="49">
        <f t="shared" si="12"/>
        <v>3600</v>
      </c>
    </row>
    <row r="33" spans="10:15" x14ac:dyDescent="0.2">
      <c r="J33" s="35" t="s">
        <v>10</v>
      </c>
      <c r="M33" s="253">
        <f>M20+M31</f>
        <v>10592.73</v>
      </c>
      <c r="O33" s="163">
        <f>O19+O31</f>
        <v>3400</v>
      </c>
    </row>
    <row r="34" spans="10:15" x14ac:dyDescent="0.2">
      <c r="J34" s="35" t="s">
        <v>120</v>
      </c>
      <c r="M34" s="253">
        <v>10594.69</v>
      </c>
      <c r="O34" s="176"/>
    </row>
    <row r="35" spans="10:15" x14ac:dyDescent="0.2">
      <c r="M35" s="64">
        <f>M34-M33</f>
        <v>1.9600000000009459</v>
      </c>
      <c r="N35" s="35" t="s">
        <v>101</v>
      </c>
      <c r="O35" s="6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70" workbookViewId="0">
      <selection sqref="A1:XFD1048576"/>
    </sheetView>
  </sheetViews>
  <sheetFormatPr defaultRowHeight="12.75" x14ac:dyDescent="0.2"/>
  <cols>
    <col min="1" max="1" width="7.28515625" style="2" customWidth="1"/>
    <col min="2" max="2" width="49.42578125" style="18" customWidth="1"/>
    <col min="3" max="3" width="11" style="3" customWidth="1"/>
    <col min="4" max="4" width="9.140625" style="8" customWidth="1"/>
    <col min="5" max="5" width="9.28515625" style="3" customWidth="1"/>
    <col min="6" max="6" width="11.7109375" style="3" customWidth="1"/>
    <col min="7" max="7" width="13.42578125" style="32" customWidth="1"/>
    <col min="8" max="8" width="10.85546875" style="32" customWidth="1"/>
    <col min="9" max="9" width="12" style="32" customWidth="1"/>
    <col min="10" max="10" width="7.85546875" style="2" customWidth="1"/>
    <col min="11" max="11" width="5.42578125" style="2" customWidth="1"/>
    <col min="12" max="12" width="6.85546875" style="2" customWidth="1"/>
    <col min="13" max="13" width="22.5703125" style="2" customWidth="1"/>
    <col min="14" max="14" width="13.5703125" style="32" customWidth="1"/>
    <col min="15" max="15" width="12.140625" style="32" customWidth="1"/>
    <col min="16" max="16" width="10" style="2" bestFit="1" customWidth="1"/>
    <col min="17" max="17" width="10.42578125" style="2" customWidth="1"/>
    <col min="18" max="16384" width="9.140625" style="2"/>
  </cols>
  <sheetData>
    <row r="1" spans="1:17" ht="12.75" customHeight="1" x14ac:dyDescent="0.2">
      <c r="A1" s="90"/>
      <c r="B1" s="310" t="s">
        <v>157</v>
      </c>
      <c r="C1" s="86" t="s">
        <v>74</v>
      </c>
      <c r="D1" s="87"/>
      <c r="E1" s="66"/>
      <c r="F1" s="80">
        <f>39739.85+9049.3</f>
        <v>48789.149999999994</v>
      </c>
      <c r="G1" s="148" t="s">
        <v>76</v>
      </c>
      <c r="H1" s="149">
        <v>0.75</v>
      </c>
      <c r="I1" s="150">
        <f>F3*H1</f>
        <v>34187.962499999994</v>
      </c>
      <c r="J1" s="9"/>
      <c r="K1" s="167"/>
    </row>
    <row r="2" spans="1:17" s="1" customFormat="1" ht="12" customHeight="1" x14ac:dyDescent="0.2">
      <c r="A2" s="91"/>
      <c r="B2" s="311"/>
      <c r="C2" s="86" t="s">
        <v>80</v>
      </c>
      <c r="D2" s="88"/>
      <c r="E2" s="89"/>
      <c r="F2" s="249">
        <f>2880+325.2</f>
        <v>3205.2</v>
      </c>
      <c r="G2" s="148" t="s">
        <v>77</v>
      </c>
      <c r="H2" s="149">
        <v>0.25</v>
      </c>
      <c r="I2" s="151">
        <f>F3*H2</f>
        <v>11395.987499999999</v>
      </c>
      <c r="J2" s="7"/>
      <c r="K2" s="248"/>
      <c r="N2" s="72"/>
      <c r="O2" s="72"/>
    </row>
    <row r="3" spans="1:17" s="1" customFormat="1" ht="11.25" customHeight="1" x14ac:dyDescent="0.25">
      <c r="A3" s="92"/>
      <c r="B3" s="264" t="s">
        <v>134</v>
      </c>
      <c r="C3" s="312" t="s">
        <v>75</v>
      </c>
      <c r="D3" s="313"/>
      <c r="E3" s="314"/>
      <c r="F3" s="152">
        <f>F1-F2</f>
        <v>45583.95</v>
      </c>
      <c r="G3" s="83"/>
      <c r="H3" s="84" t="s">
        <v>68</v>
      </c>
      <c r="I3" s="153">
        <f>SUM(I1:I2)</f>
        <v>45583.95</v>
      </c>
      <c r="J3" s="85"/>
      <c r="K3" s="168"/>
      <c r="N3" s="72"/>
      <c r="O3" s="72"/>
    </row>
    <row r="4" spans="1:17" s="140" customFormat="1" ht="18.75" customHeight="1" x14ac:dyDescent="0.2">
      <c r="A4" s="136"/>
      <c r="B4" s="143"/>
      <c r="C4" s="187" t="s">
        <v>33</v>
      </c>
      <c r="D4" s="137" t="s">
        <v>35</v>
      </c>
      <c r="E4" s="137" t="s">
        <v>2</v>
      </c>
      <c r="F4" s="137" t="s">
        <v>3</v>
      </c>
      <c r="G4" s="138" t="s">
        <v>4</v>
      </c>
      <c r="H4" s="138" t="s">
        <v>5</v>
      </c>
      <c r="I4" s="138" t="s">
        <v>6</v>
      </c>
      <c r="J4" s="139"/>
      <c r="K4" s="244"/>
      <c r="M4" s="141"/>
      <c r="N4" s="142" t="s">
        <v>66</v>
      </c>
      <c r="O4" s="142" t="s">
        <v>67</v>
      </c>
    </row>
    <row r="5" spans="1:17" x14ac:dyDescent="0.2">
      <c r="A5" s="9" t="s">
        <v>14</v>
      </c>
      <c r="B5" s="265" t="s">
        <v>87</v>
      </c>
      <c r="C5" s="268">
        <v>1</v>
      </c>
      <c r="D5" s="7" t="s">
        <v>12</v>
      </c>
      <c r="E5" s="276">
        <f>40+20</f>
        <v>60</v>
      </c>
      <c r="F5" s="162">
        <v>17.5</v>
      </c>
      <c r="G5" s="78">
        <f>E5*F5</f>
        <v>1050</v>
      </c>
      <c r="H5" s="78">
        <f>G5*32.7/100</f>
        <v>343.35</v>
      </c>
      <c r="I5" s="78">
        <f>G5+H5</f>
        <v>1393.35</v>
      </c>
      <c r="J5" s="9" t="s">
        <v>22</v>
      </c>
      <c r="K5" s="308"/>
      <c r="M5" s="79" t="s">
        <v>71</v>
      </c>
      <c r="N5" s="80">
        <f>G5</f>
        <v>1050</v>
      </c>
      <c r="O5" s="80">
        <f>I5</f>
        <v>1393.35</v>
      </c>
      <c r="Q5" s="161"/>
    </row>
    <row r="6" spans="1:17" x14ac:dyDescent="0.2">
      <c r="A6" s="9" t="s">
        <v>14</v>
      </c>
      <c r="B6" s="19" t="s">
        <v>88</v>
      </c>
      <c r="C6" s="268">
        <v>1</v>
      </c>
      <c r="D6" s="7" t="s">
        <v>12</v>
      </c>
      <c r="E6" s="172">
        <v>40</v>
      </c>
      <c r="F6" s="162">
        <v>17.5</v>
      </c>
      <c r="G6" s="81">
        <f t="shared" ref="G6:G41" si="0">E6*F6</f>
        <v>700</v>
      </c>
      <c r="H6" s="78">
        <f>G6*32.7/100</f>
        <v>228.90000000000003</v>
      </c>
      <c r="I6" s="81">
        <f>G6+H6</f>
        <v>928.90000000000009</v>
      </c>
      <c r="J6" s="9" t="s">
        <v>22</v>
      </c>
      <c r="K6" s="308"/>
      <c r="M6" s="235" t="s">
        <v>117</v>
      </c>
      <c r="N6" s="80">
        <f>G40+G41</f>
        <v>3318</v>
      </c>
      <c r="O6" s="80">
        <f>I40+I41</f>
        <v>4402.9860000000008</v>
      </c>
      <c r="Q6" s="161"/>
    </row>
    <row r="7" spans="1:17" x14ac:dyDescent="0.2">
      <c r="A7" s="9" t="s">
        <v>14</v>
      </c>
      <c r="B7" s="19" t="s">
        <v>89</v>
      </c>
      <c r="C7" s="268">
        <v>1</v>
      </c>
      <c r="D7" s="7" t="s">
        <v>12</v>
      </c>
      <c r="E7" s="172">
        <v>40</v>
      </c>
      <c r="F7" s="162">
        <v>17.5</v>
      </c>
      <c r="G7" s="81">
        <f t="shared" si="0"/>
        <v>700</v>
      </c>
      <c r="H7" s="78">
        <f>G7*32.7/100</f>
        <v>228.90000000000003</v>
      </c>
      <c r="I7" s="81">
        <f>G7+H7</f>
        <v>928.90000000000009</v>
      </c>
      <c r="J7" s="9" t="s">
        <v>22</v>
      </c>
      <c r="K7" s="308"/>
      <c r="M7" s="74" t="s">
        <v>72</v>
      </c>
      <c r="N7" s="80">
        <f>SUM(G6:G39)+G42</f>
        <v>30654.639999999999</v>
      </c>
      <c r="O7" s="80">
        <f>SUM(I6:I39)+I42</f>
        <v>40678.707279999995</v>
      </c>
      <c r="Q7" s="161"/>
    </row>
    <row r="8" spans="1:17" x14ac:dyDescent="0.2">
      <c r="A8" s="9" t="s">
        <v>14</v>
      </c>
      <c r="B8" s="19" t="s">
        <v>90</v>
      </c>
      <c r="C8" s="268">
        <v>1</v>
      </c>
      <c r="D8" s="7" t="s">
        <v>12</v>
      </c>
      <c r="E8" s="172">
        <v>30</v>
      </c>
      <c r="F8" s="162">
        <v>17.5</v>
      </c>
      <c r="G8" s="81">
        <f t="shared" si="0"/>
        <v>525</v>
      </c>
      <c r="H8" s="29">
        <f t="shared" ref="H8:H11" si="1">G8*32.7/100</f>
        <v>171.67500000000001</v>
      </c>
      <c r="I8" s="81">
        <f t="shared" ref="I8:I11" si="2">G8+H8</f>
        <v>696.67499999999995</v>
      </c>
      <c r="J8" s="9" t="s">
        <v>22</v>
      </c>
      <c r="K8" s="308"/>
      <c r="M8" s="235" t="s">
        <v>73</v>
      </c>
      <c r="N8" s="82"/>
      <c r="O8" s="236">
        <f>N8*132.7/100</f>
        <v>0</v>
      </c>
    </row>
    <row r="9" spans="1:17" x14ac:dyDescent="0.2">
      <c r="A9" s="9" t="s">
        <v>14</v>
      </c>
      <c r="B9" s="19" t="s">
        <v>91</v>
      </c>
      <c r="C9" s="268">
        <v>1</v>
      </c>
      <c r="D9" s="7" t="s">
        <v>12</v>
      </c>
      <c r="E9" s="172">
        <v>20</v>
      </c>
      <c r="F9" s="162">
        <v>17.5</v>
      </c>
      <c r="G9" s="81">
        <f t="shared" si="0"/>
        <v>350</v>
      </c>
      <c r="H9" s="29">
        <f t="shared" si="1"/>
        <v>114.45000000000002</v>
      </c>
      <c r="I9" s="81">
        <f t="shared" si="2"/>
        <v>464.45000000000005</v>
      </c>
      <c r="J9" s="9" t="s">
        <v>22</v>
      </c>
      <c r="K9" s="308"/>
      <c r="M9" s="239" t="s">
        <v>68</v>
      </c>
      <c r="N9" s="240">
        <f>SUM(N5:N8)</f>
        <v>35022.639999999999</v>
      </c>
      <c r="O9" s="240">
        <f>SUM(O5:O8)</f>
        <v>46475.043279999998</v>
      </c>
      <c r="Q9" s="161"/>
    </row>
    <row r="10" spans="1:17" x14ac:dyDescent="0.2">
      <c r="A10" s="9" t="s">
        <v>14</v>
      </c>
      <c r="B10" s="19" t="s">
        <v>92</v>
      </c>
      <c r="C10" s="268">
        <v>1</v>
      </c>
      <c r="D10" s="7" t="s">
        <v>12</v>
      </c>
      <c r="E10" s="172">
        <v>30</v>
      </c>
      <c r="F10" s="162">
        <v>17.5</v>
      </c>
      <c r="G10" s="81">
        <f t="shared" si="0"/>
        <v>525</v>
      </c>
      <c r="H10" s="29">
        <f t="shared" si="1"/>
        <v>171.67500000000001</v>
      </c>
      <c r="I10" s="81">
        <f t="shared" si="2"/>
        <v>696.67499999999995</v>
      </c>
      <c r="J10" s="9" t="s">
        <v>22</v>
      </c>
      <c r="K10" s="308"/>
      <c r="M10" s="237" t="s">
        <v>15</v>
      </c>
      <c r="N10" s="208">
        <f>G77+G43</f>
        <v>3600</v>
      </c>
      <c r="O10" s="208">
        <f>I77+I43</f>
        <v>4777.2</v>
      </c>
      <c r="P10" s="161"/>
      <c r="Q10" s="161"/>
    </row>
    <row r="11" spans="1:17" x14ac:dyDescent="0.2">
      <c r="A11" s="9" t="s">
        <v>14</v>
      </c>
      <c r="B11" s="19" t="s">
        <v>93</v>
      </c>
      <c r="C11" s="268">
        <v>1</v>
      </c>
      <c r="D11" s="7" t="s">
        <v>12</v>
      </c>
      <c r="E11" s="172">
        <v>25</v>
      </c>
      <c r="F11" s="162">
        <v>17.5</v>
      </c>
      <c r="G11" s="81">
        <f t="shared" si="0"/>
        <v>437.5</v>
      </c>
      <c r="H11" s="29">
        <f t="shared" si="1"/>
        <v>143.06250000000003</v>
      </c>
      <c r="I11" s="81">
        <f t="shared" si="2"/>
        <v>580.5625</v>
      </c>
      <c r="J11" s="9" t="s">
        <v>22</v>
      </c>
      <c r="K11" s="308"/>
      <c r="M11" s="9" t="s">
        <v>83</v>
      </c>
      <c r="N11" s="33">
        <f>G87</f>
        <v>788.31</v>
      </c>
      <c r="O11" s="33">
        <f>I87</f>
        <v>1046.08737</v>
      </c>
      <c r="Q11" s="161"/>
    </row>
    <row r="12" spans="1:17" x14ac:dyDescent="0.2">
      <c r="A12" s="9" t="s">
        <v>14</v>
      </c>
      <c r="B12" s="19" t="s">
        <v>135</v>
      </c>
      <c r="C12" s="268">
        <v>6</v>
      </c>
      <c r="D12" s="7" t="s">
        <v>12</v>
      </c>
      <c r="E12" s="171">
        <f>C12*23</f>
        <v>138</v>
      </c>
      <c r="F12" s="162">
        <v>17.5</v>
      </c>
      <c r="G12" s="81">
        <f t="shared" si="0"/>
        <v>2415</v>
      </c>
      <c r="H12" s="29">
        <f>G12*32.7/100</f>
        <v>789.70500000000004</v>
      </c>
      <c r="I12" s="81">
        <f>G12+H12</f>
        <v>3204.7049999999999</v>
      </c>
      <c r="J12" s="9" t="s">
        <v>22</v>
      </c>
      <c r="K12" s="245"/>
      <c r="M12" s="9" t="s">
        <v>69</v>
      </c>
      <c r="N12" s="33">
        <f>G86</f>
        <v>384.6</v>
      </c>
      <c r="O12" s="33">
        <f>I86</f>
        <v>510.36420000000004</v>
      </c>
      <c r="Q12" s="161"/>
    </row>
    <row r="13" spans="1:17" x14ac:dyDescent="0.2">
      <c r="A13" s="9" t="s">
        <v>14</v>
      </c>
      <c r="B13" s="19" t="s">
        <v>136</v>
      </c>
      <c r="C13" s="268">
        <v>6</v>
      </c>
      <c r="D13" s="7" t="s">
        <v>12</v>
      </c>
      <c r="E13" s="171">
        <f>C13*2</f>
        <v>12</v>
      </c>
      <c r="F13" s="162">
        <v>17.5</v>
      </c>
      <c r="G13" s="81">
        <f t="shared" si="0"/>
        <v>210</v>
      </c>
      <c r="H13" s="29">
        <f>G13*32.7/100</f>
        <v>68.670000000000016</v>
      </c>
      <c r="I13" s="81">
        <f>G13+H13</f>
        <v>278.67</v>
      </c>
      <c r="J13" s="9" t="s">
        <v>22</v>
      </c>
      <c r="K13" s="245"/>
      <c r="M13" s="9"/>
      <c r="N13" s="147"/>
      <c r="O13" s="33"/>
      <c r="Q13" s="161"/>
    </row>
    <row r="14" spans="1:17" x14ac:dyDescent="0.2">
      <c r="A14" s="9" t="s">
        <v>14</v>
      </c>
      <c r="B14" s="19" t="s">
        <v>125</v>
      </c>
      <c r="C14" s="268">
        <v>3</v>
      </c>
      <c r="D14" s="7" t="s">
        <v>12</v>
      </c>
      <c r="E14" s="171">
        <f>C14*4</f>
        <v>12</v>
      </c>
      <c r="F14" s="162">
        <v>17.5</v>
      </c>
      <c r="G14" s="81">
        <f t="shared" si="0"/>
        <v>210</v>
      </c>
      <c r="H14" s="29">
        <f t="shared" ref="H14:H15" si="3">G14*32.7/100</f>
        <v>68.670000000000016</v>
      </c>
      <c r="I14" s="81">
        <f t="shared" ref="I14:I15" si="4">G14+H14</f>
        <v>278.67</v>
      </c>
      <c r="J14" s="9" t="s">
        <v>22</v>
      </c>
      <c r="K14" s="245"/>
      <c r="M14" s="155" t="s">
        <v>68</v>
      </c>
      <c r="N14" s="156">
        <f>SUM(N10:N13)</f>
        <v>4772.91</v>
      </c>
      <c r="O14" s="156">
        <f>SUM(O10:O13)</f>
        <v>6333.65157</v>
      </c>
      <c r="Q14" s="161"/>
    </row>
    <row r="15" spans="1:17" x14ac:dyDescent="0.2">
      <c r="A15" s="9" t="s">
        <v>14</v>
      </c>
      <c r="B15" s="19" t="s">
        <v>126</v>
      </c>
      <c r="C15" s="268">
        <v>2</v>
      </c>
      <c r="D15" s="7" t="s">
        <v>12</v>
      </c>
      <c r="E15" s="171">
        <f>C15*4</f>
        <v>8</v>
      </c>
      <c r="F15" s="162">
        <v>17.5</v>
      </c>
      <c r="G15" s="81">
        <f t="shared" si="0"/>
        <v>140</v>
      </c>
      <c r="H15" s="29">
        <f t="shared" si="3"/>
        <v>45.78</v>
      </c>
      <c r="I15" s="81">
        <f t="shared" si="4"/>
        <v>185.78</v>
      </c>
      <c r="J15" s="9" t="s">
        <v>22</v>
      </c>
      <c r="K15" s="245"/>
      <c r="P15" s="24"/>
      <c r="Q15" s="161"/>
    </row>
    <row r="16" spans="1:17" ht="12.75" customHeight="1" x14ac:dyDescent="0.2">
      <c r="A16" s="9" t="s">
        <v>14</v>
      </c>
      <c r="B16" s="70" t="s">
        <v>63</v>
      </c>
      <c r="C16" s="268">
        <v>3</v>
      </c>
      <c r="D16" s="7" t="s">
        <v>12</v>
      </c>
      <c r="E16" s="171">
        <f>C16*2</f>
        <v>6</v>
      </c>
      <c r="F16" s="162">
        <v>17.5</v>
      </c>
      <c r="G16" s="81">
        <f t="shared" si="0"/>
        <v>105</v>
      </c>
      <c r="H16" s="29">
        <f>G16*32.7/100</f>
        <v>34.335000000000008</v>
      </c>
      <c r="I16" s="81">
        <f>G16+H16</f>
        <v>139.33500000000001</v>
      </c>
      <c r="J16" s="9" t="s">
        <v>22</v>
      </c>
      <c r="K16" s="245"/>
      <c r="M16" s="241" t="s">
        <v>68</v>
      </c>
      <c r="N16" s="242">
        <f>N9+N14</f>
        <v>39795.550000000003</v>
      </c>
      <c r="O16" s="243">
        <f>O9+O14</f>
        <v>52808.69485</v>
      </c>
      <c r="Q16" s="161"/>
    </row>
    <row r="17" spans="1:16" x14ac:dyDescent="0.2">
      <c r="A17" s="9" t="s">
        <v>14</v>
      </c>
      <c r="B17" s="71" t="s">
        <v>64</v>
      </c>
      <c r="C17" s="268">
        <v>2</v>
      </c>
      <c r="D17" s="7" t="s">
        <v>12</v>
      </c>
      <c r="E17" s="171">
        <f>C17*2</f>
        <v>4</v>
      </c>
      <c r="F17" s="162">
        <v>17.5</v>
      </c>
      <c r="G17" s="81">
        <f t="shared" si="0"/>
        <v>70</v>
      </c>
      <c r="H17" s="29">
        <f t="shared" ref="H17:H43" si="5">G17*32.7/100</f>
        <v>22.89</v>
      </c>
      <c r="I17" s="81">
        <f t="shared" ref="I17:I43" si="6">G17+H17</f>
        <v>92.89</v>
      </c>
      <c r="J17" s="9" t="s">
        <v>22</v>
      </c>
      <c r="K17" s="245"/>
    </row>
    <row r="18" spans="1:16" x14ac:dyDescent="0.2">
      <c r="A18" s="9" t="s">
        <v>14</v>
      </c>
      <c r="B18" s="71" t="s">
        <v>127</v>
      </c>
      <c r="C18" s="268">
        <v>14</v>
      </c>
      <c r="D18" s="7" t="s">
        <v>12</v>
      </c>
      <c r="E18" s="171">
        <f>C18*15</f>
        <v>210</v>
      </c>
      <c r="F18" s="162">
        <v>17.5</v>
      </c>
      <c r="G18" s="81">
        <f t="shared" si="0"/>
        <v>3675</v>
      </c>
      <c r="H18" s="29">
        <f t="shared" si="5"/>
        <v>1201.7250000000001</v>
      </c>
      <c r="I18" s="81">
        <f t="shared" si="6"/>
        <v>4876.7250000000004</v>
      </c>
      <c r="J18" s="9" t="s">
        <v>22</v>
      </c>
      <c r="K18" s="245"/>
      <c r="M18" s="74" t="s">
        <v>70</v>
      </c>
      <c r="N18" s="75">
        <f>G85</f>
        <v>2913.92</v>
      </c>
      <c r="O18" s="75">
        <f>I85</f>
        <v>3866.7918400000003</v>
      </c>
    </row>
    <row r="19" spans="1:16" x14ac:dyDescent="0.2">
      <c r="A19" s="9" t="s">
        <v>14</v>
      </c>
      <c r="B19" s="71" t="s">
        <v>104</v>
      </c>
      <c r="C19" s="268">
        <v>6</v>
      </c>
      <c r="D19" s="7" t="s">
        <v>12</v>
      </c>
      <c r="E19" s="171">
        <f>C19*4</f>
        <v>24</v>
      </c>
      <c r="F19" s="162">
        <v>17.5</v>
      </c>
      <c r="G19" s="81">
        <f t="shared" si="0"/>
        <v>420</v>
      </c>
      <c r="H19" s="29">
        <f t="shared" si="5"/>
        <v>137.34000000000003</v>
      </c>
      <c r="I19" s="81">
        <f t="shared" si="6"/>
        <v>557.34</v>
      </c>
      <c r="J19" s="9" t="s">
        <v>22</v>
      </c>
      <c r="K19" s="245"/>
      <c r="N19" s="2"/>
      <c r="O19" s="2"/>
    </row>
    <row r="20" spans="1:16" x14ac:dyDescent="0.2">
      <c r="A20" s="9" t="s">
        <v>14</v>
      </c>
      <c r="B20" s="71" t="s">
        <v>128</v>
      </c>
      <c r="C20" s="268">
        <v>1</v>
      </c>
      <c r="D20" s="7" t="s">
        <v>12</v>
      </c>
      <c r="E20" s="171">
        <f>C20*10</f>
        <v>10</v>
      </c>
      <c r="F20" s="162">
        <v>17.5</v>
      </c>
      <c r="G20" s="81">
        <f t="shared" si="0"/>
        <v>175</v>
      </c>
      <c r="H20" s="29">
        <f t="shared" si="5"/>
        <v>57.225000000000009</v>
      </c>
      <c r="I20" s="81">
        <f t="shared" si="6"/>
        <v>232.22500000000002</v>
      </c>
      <c r="J20" s="9" t="s">
        <v>22</v>
      </c>
      <c r="K20" s="245"/>
      <c r="N20" s="2"/>
      <c r="O20" s="2"/>
    </row>
    <row r="21" spans="1:16" ht="14.25" customHeight="1" x14ac:dyDescent="0.2">
      <c r="A21" s="9" t="s">
        <v>14</v>
      </c>
      <c r="B21" s="71" t="s">
        <v>115</v>
      </c>
      <c r="C21" s="268">
        <v>6</v>
      </c>
      <c r="D21" s="7" t="s">
        <v>12</v>
      </c>
      <c r="E21" s="171">
        <f>(C21*10)-15</f>
        <v>45</v>
      </c>
      <c r="F21" s="162">
        <v>17.5</v>
      </c>
      <c r="G21" s="81">
        <f t="shared" si="0"/>
        <v>787.5</v>
      </c>
      <c r="H21" s="29">
        <f t="shared" si="5"/>
        <v>257.51250000000005</v>
      </c>
      <c r="I21" s="81">
        <f t="shared" si="6"/>
        <v>1045.0125</v>
      </c>
      <c r="J21" s="9" t="s">
        <v>22</v>
      </c>
      <c r="K21" s="245"/>
      <c r="M21" s="76" t="s">
        <v>52</v>
      </c>
      <c r="N21" s="157">
        <f>N16+N18</f>
        <v>42709.47</v>
      </c>
      <c r="O21" s="158">
        <f>O16+O18</f>
        <v>56675.486689999998</v>
      </c>
    </row>
    <row r="22" spans="1:16" x14ac:dyDescent="0.2">
      <c r="A22" s="9" t="s">
        <v>14</v>
      </c>
      <c r="B22" s="71" t="s">
        <v>132</v>
      </c>
      <c r="C22" s="270">
        <v>1</v>
      </c>
      <c r="D22" s="7" t="s">
        <v>12</v>
      </c>
      <c r="E22" s="173">
        <v>25</v>
      </c>
      <c r="F22" s="162">
        <v>17.5</v>
      </c>
      <c r="G22" s="81">
        <f t="shared" si="0"/>
        <v>437.5</v>
      </c>
      <c r="H22" s="29">
        <f t="shared" si="5"/>
        <v>143.06250000000003</v>
      </c>
      <c r="I22" s="81">
        <f t="shared" si="6"/>
        <v>580.5625</v>
      </c>
      <c r="J22" s="9" t="s">
        <v>22</v>
      </c>
      <c r="K22" s="245"/>
    </row>
    <row r="23" spans="1:16" x14ac:dyDescent="0.2">
      <c r="A23" s="9" t="s">
        <v>14</v>
      </c>
      <c r="B23" s="71" t="s">
        <v>118</v>
      </c>
      <c r="C23" s="270">
        <v>5</v>
      </c>
      <c r="D23" s="7" t="s">
        <v>12</v>
      </c>
      <c r="E23" s="173">
        <f>C23*6</f>
        <v>30</v>
      </c>
      <c r="F23" s="162">
        <v>17.5</v>
      </c>
      <c r="G23" s="81">
        <f t="shared" si="0"/>
        <v>525</v>
      </c>
      <c r="H23" s="29">
        <f t="shared" si="5"/>
        <v>171.67500000000001</v>
      </c>
      <c r="I23" s="81">
        <f t="shared" si="6"/>
        <v>696.67499999999995</v>
      </c>
      <c r="J23" s="9" t="s">
        <v>22</v>
      </c>
      <c r="K23" s="245"/>
    </row>
    <row r="24" spans="1:16" ht="11.25" customHeight="1" x14ac:dyDescent="0.2">
      <c r="A24" s="9" t="s">
        <v>14</v>
      </c>
      <c r="B24" s="77" t="s">
        <v>176</v>
      </c>
      <c r="C24" s="270">
        <v>6</v>
      </c>
      <c r="D24" s="7" t="s">
        <v>13</v>
      </c>
      <c r="E24" s="174">
        <v>50</v>
      </c>
      <c r="F24" s="5">
        <v>19.25</v>
      </c>
      <c r="G24" s="81">
        <f t="shared" si="0"/>
        <v>962.5</v>
      </c>
      <c r="H24" s="29">
        <f t="shared" si="5"/>
        <v>314.73750000000001</v>
      </c>
      <c r="I24" s="81">
        <f t="shared" si="6"/>
        <v>1277.2375</v>
      </c>
      <c r="J24" s="9" t="s">
        <v>22</v>
      </c>
      <c r="K24" s="245"/>
      <c r="M24" s="9" t="s">
        <v>84</v>
      </c>
      <c r="N24" s="159">
        <f>G71</f>
        <v>2880</v>
      </c>
      <c r="O24" s="33">
        <f>I71</f>
        <v>3821.76</v>
      </c>
    </row>
    <row r="25" spans="1:16" ht="12" customHeight="1" x14ac:dyDescent="0.2">
      <c r="A25" s="9" t="s">
        <v>14</v>
      </c>
      <c r="B25" s="275" t="s">
        <v>175</v>
      </c>
      <c r="C25" s="270">
        <v>10</v>
      </c>
      <c r="D25" s="7" t="s">
        <v>13</v>
      </c>
      <c r="E25" s="174">
        <v>70</v>
      </c>
      <c r="F25" s="5">
        <v>19.25</v>
      </c>
      <c r="G25" s="81">
        <f t="shared" si="0"/>
        <v>1347.5</v>
      </c>
      <c r="H25" s="29">
        <f t="shared" si="5"/>
        <v>440.63250000000005</v>
      </c>
      <c r="I25" s="81">
        <f t="shared" si="6"/>
        <v>1788.1325000000002</v>
      </c>
      <c r="J25" s="9" t="s">
        <v>22</v>
      </c>
      <c r="K25" s="245"/>
      <c r="M25" s="9" t="s">
        <v>85</v>
      </c>
      <c r="N25" s="159">
        <f>G72</f>
        <v>325.2</v>
      </c>
      <c r="O25" s="159">
        <f>I72</f>
        <v>431.54039999999998</v>
      </c>
    </row>
    <row r="26" spans="1:16" x14ac:dyDescent="0.2">
      <c r="A26" s="9" t="s">
        <v>14</v>
      </c>
      <c r="B26" s="77" t="s">
        <v>174</v>
      </c>
      <c r="C26" s="270">
        <v>16</v>
      </c>
      <c r="D26" s="7" t="s">
        <v>13</v>
      </c>
      <c r="E26" s="174">
        <v>60</v>
      </c>
      <c r="F26" s="5">
        <v>19.25</v>
      </c>
      <c r="G26" s="81">
        <f t="shared" si="0"/>
        <v>1155</v>
      </c>
      <c r="H26" s="29">
        <f t="shared" si="5"/>
        <v>377.685</v>
      </c>
      <c r="I26" s="81">
        <f t="shared" si="6"/>
        <v>1532.6849999999999</v>
      </c>
      <c r="J26" s="9" t="s">
        <v>22</v>
      </c>
      <c r="K26" s="245"/>
      <c r="M26" s="9" t="s">
        <v>32</v>
      </c>
      <c r="N26" s="159">
        <f>G57+G67</f>
        <v>10785.23</v>
      </c>
      <c r="O26" s="159">
        <f>I57+I67</f>
        <v>14312.000209999998</v>
      </c>
    </row>
    <row r="27" spans="1:16" ht="21.75" customHeight="1" x14ac:dyDescent="0.2">
      <c r="A27" s="9" t="s">
        <v>14</v>
      </c>
      <c r="B27" s="77" t="s">
        <v>173</v>
      </c>
      <c r="C27" s="270">
        <v>7</v>
      </c>
      <c r="D27" s="7" t="s">
        <v>13</v>
      </c>
      <c r="E27" s="174">
        <v>60</v>
      </c>
      <c r="F27" s="5">
        <v>19.25</v>
      </c>
      <c r="G27" s="81">
        <f t="shared" si="0"/>
        <v>1155</v>
      </c>
      <c r="H27" s="29">
        <f t="shared" si="5"/>
        <v>377.685</v>
      </c>
      <c r="I27" s="81">
        <f t="shared" si="6"/>
        <v>1532.6849999999999</v>
      </c>
      <c r="J27" s="9" t="s">
        <v>22</v>
      </c>
      <c r="K27" s="245"/>
      <c r="M27" s="9" t="s">
        <v>65</v>
      </c>
      <c r="N27" s="33">
        <f>G82</f>
        <v>1817.27</v>
      </c>
      <c r="O27" s="33">
        <f>I82</f>
        <v>2411.5172899999998</v>
      </c>
      <c r="P27" s="3"/>
    </row>
    <row r="28" spans="1:16" x14ac:dyDescent="0.2">
      <c r="A28" s="9" t="s">
        <v>14</v>
      </c>
      <c r="B28" s="77" t="s">
        <v>171</v>
      </c>
      <c r="C28" s="270">
        <v>9</v>
      </c>
      <c r="D28" s="7" t="s">
        <v>13</v>
      </c>
      <c r="E28" s="174">
        <v>30</v>
      </c>
      <c r="F28" s="5">
        <v>19.25</v>
      </c>
      <c r="G28" s="81">
        <f t="shared" si="0"/>
        <v>577.5</v>
      </c>
      <c r="H28" s="29">
        <f t="shared" si="5"/>
        <v>188.8425</v>
      </c>
      <c r="I28" s="81">
        <f t="shared" si="6"/>
        <v>766.34249999999997</v>
      </c>
      <c r="J28" s="9" t="s">
        <v>22</v>
      </c>
      <c r="K28" s="245"/>
      <c r="M28" s="9" t="s">
        <v>10</v>
      </c>
      <c r="N28" s="160">
        <f>SUM(N24:N27)</f>
        <v>15807.7</v>
      </c>
      <c r="O28" s="160">
        <f>SUM(O24:O27)</f>
        <v>20976.817899999998</v>
      </c>
    </row>
    <row r="29" spans="1:16" x14ac:dyDescent="0.2">
      <c r="A29" s="9" t="s">
        <v>14</v>
      </c>
      <c r="B29" s="77" t="s">
        <v>172</v>
      </c>
      <c r="C29" s="270">
        <v>5</v>
      </c>
      <c r="D29" s="7" t="s">
        <v>13</v>
      </c>
      <c r="E29" s="174">
        <v>10</v>
      </c>
      <c r="F29" s="5">
        <v>19.25</v>
      </c>
      <c r="G29" s="81">
        <f t="shared" si="0"/>
        <v>192.5</v>
      </c>
      <c r="H29" s="29">
        <f t="shared" si="5"/>
        <v>62.947500000000012</v>
      </c>
      <c r="I29" s="81">
        <f t="shared" si="6"/>
        <v>255.44750000000002</v>
      </c>
      <c r="J29" s="9" t="s">
        <v>22</v>
      </c>
      <c r="K29" s="245"/>
      <c r="M29" s="165" t="s">
        <v>86</v>
      </c>
      <c r="N29" s="166">
        <f>N21+N28</f>
        <v>58517.17</v>
      </c>
      <c r="O29" s="166">
        <f>O21+O28</f>
        <v>77652.30459</v>
      </c>
    </row>
    <row r="30" spans="1:16" x14ac:dyDescent="0.2">
      <c r="A30" s="9" t="s">
        <v>14</v>
      </c>
      <c r="B30" s="77" t="s">
        <v>170</v>
      </c>
      <c r="C30" s="269">
        <v>1</v>
      </c>
      <c r="D30" s="7" t="s">
        <v>12</v>
      </c>
      <c r="E30" s="270">
        <v>12</v>
      </c>
      <c r="F30" s="5">
        <v>17.5</v>
      </c>
      <c r="G30" s="81">
        <f t="shared" si="0"/>
        <v>210</v>
      </c>
      <c r="H30" s="29">
        <f t="shared" si="5"/>
        <v>68.670000000000016</v>
      </c>
      <c r="I30" s="81">
        <f t="shared" si="6"/>
        <v>278.67</v>
      </c>
      <c r="J30" s="9" t="s">
        <v>22</v>
      </c>
      <c r="K30" s="245"/>
      <c r="M30" s="250"/>
      <c r="N30" s="251"/>
      <c r="O30" s="251"/>
    </row>
    <row r="31" spans="1:16" x14ac:dyDescent="0.2">
      <c r="A31" s="9"/>
      <c r="B31" s="277" t="s">
        <v>177</v>
      </c>
      <c r="C31" s="269">
        <v>4</v>
      </c>
      <c r="D31" s="7" t="s">
        <v>13</v>
      </c>
      <c r="E31" s="270">
        <v>4</v>
      </c>
      <c r="F31" s="5">
        <v>19.25</v>
      </c>
      <c r="G31" s="81">
        <f t="shared" si="0"/>
        <v>77</v>
      </c>
      <c r="H31" s="29">
        <f t="shared" si="5"/>
        <v>25.179000000000002</v>
      </c>
      <c r="I31" s="81">
        <f t="shared" si="6"/>
        <v>102.179</v>
      </c>
      <c r="J31" s="9" t="s">
        <v>22</v>
      </c>
      <c r="K31" s="245"/>
      <c r="M31" s="250"/>
      <c r="N31" s="251"/>
      <c r="O31" s="251"/>
    </row>
    <row r="32" spans="1:16" x14ac:dyDescent="0.2">
      <c r="A32" s="9"/>
      <c r="B32" s="77" t="s">
        <v>138</v>
      </c>
      <c r="C32" s="269">
        <v>1</v>
      </c>
      <c r="D32" s="7" t="s">
        <v>13</v>
      </c>
      <c r="E32" s="174">
        <v>10</v>
      </c>
      <c r="F32" s="5">
        <v>19.25</v>
      </c>
      <c r="G32" s="81">
        <f t="shared" si="0"/>
        <v>192.5</v>
      </c>
      <c r="H32" s="29">
        <f t="shared" si="5"/>
        <v>62.947500000000012</v>
      </c>
      <c r="I32" s="81">
        <f t="shared" si="6"/>
        <v>255.44750000000002</v>
      </c>
      <c r="J32" s="9" t="s">
        <v>22</v>
      </c>
      <c r="K32" s="245"/>
    </row>
    <row r="33" spans="1:15" x14ac:dyDescent="0.2">
      <c r="A33" s="9"/>
      <c r="B33" s="77" t="s">
        <v>119</v>
      </c>
      <c r="C33" s="269">
        <v>1</v>
      </c>
      <c r="D33" s="7" t="s">
        <v>13</v>
      </c>
      <c r="E33" s="174">
        <v>10</v>
      </c>
      <c r="F33" s="5">
        <v>19.25</v>
      </c>
      <c r="G33" s="81">
        <f t="shared" si="0"/>
        <v>192.5</v>
      </c>
      <c r="H33" s="29">
        <f t="shared" si="5"/>
        <v>62.947500000000012</v>
      </c>
      <c r="I33" s="81">
        <f t="shared" si="6"/>
        <v>255.44750000000002</v>
      </c>
      <c r="J33" s="9" t="s">
        <v>22</v>
      </c>
      <c r="K33" s="245"/>
    </row>
    <row r="34" spans="1:15" x14ac:dyDescent="0.2">
      <c r="A34" s="9"/>
      <c r="B34" s="77" t="s">
        <v>137</v>
      </c>
      <c r="C34" s="269">
        <v>1</v>
      </c>
      <c r="D34" s="7" t="s">
        <v>13</v>
      </c>
      <c r="E34" s="174">
        <v>15</v>
      </c>
      <c r="F34" s="5">
        <v>19.25</v>
      </c>
      <c r="G34" s="81">
        <f t="shared" si="0"/>
        <v>288.75</v>
      </c>
      <c r="H34" s="29">
        <f t="shared" si="5"/>
        <v>94.421250000000001</v>
      </c>
      <c r="I34" s="81">
        <f t="shared" si="6"/>
        <v>383.17124999999999</v>
      </c>
      <c r="J34" s="9" t="s">
        <v>22</v>
      </c>
      <c r="K34" s="245"/>
    </row>
    <row r="35" spans="1:15" x14ac:dyDescent="0.2">
      <c r="A35" s="9"/>
      <c r="B35" s="77" t="s">
        <v>150</v>
      </c>
      <c r="C35" s="269">
        <v>1</v>
      </c>
      <c r="D35" s="7" t="s">
        <v>13</v>
      </c>
      <c r="E35" s="174">
        <v>10</v>
      </c>
      <c r="F35" s="5">
        <v>19.25</v>
      </c>
      <c r="G35" s="81">
        <f t="shared" si="0"/>
        <v>192.5</v>
      </c>
      <c r="H35" s="29">
        <f t="shared" si="5"/>
        <v>62.947500000000012</v>
      </c>
      <c r="I35" s="81">
        <f t="shared" si="6"/>
        <v>255.44750000000002</v>
      </c>
      <c r="J35" s="9" t="s">
        <v>22</v>
      </c>
      <c r="K35" s="245"/>
    </row>
    <row r="36" spans="1:15" x14ac:dyDescent="0.2">
      <c r="A36" s="9"/>
      <c r="B36" s="19" t="s">
        <v>151</v>
      </c>
      <c r="C36" s="188" t="s">
        <v>18</v>
      </c>
      <c r="D36" s="7" t="s">
        <v>13</v>
      </c>
      <c r="E36" s="174">
        <v>40</v>
      </c>
      <c r="F36" s="5">
        <v>19.25</v>
      </c>
      <c r="G36" s="81">
        <f t="shared" si="0"/>
        <v>770</v>
      </c>
      <c r="H36" s="29">
        <f t="shared" si="5"/>
        <v>251.79000000000005</v>
      </c>
      <c r="I36" s="81">
        <f t="shared" si="6"/>
        <v>1021.7900000000001</v>
      </c>
      <c r="J36" s="9" t="s">
        <v>22</v>
      </c>
      <c r="K36" s="245"/>
    </row>
    <row r="37" spans="1:15" x14ac:dyDescent="0.2">
      <c r="A37" s="9" t="s">
        <v>14</v>
      </c>
      <c r="B37" s="19" t="s">
        <v>139</v>
      </c>
      <c r="C37" s="93" t="s">
        <v>103</v>
      </c>
      <c r="D37" s="7" t="s">
        <v>13</v>
      </c>
      <c r="E37" s="174">
        <v>38</v>
      </c>
      <c r="F37" s="266">
        <v>38.5</v>
      </c>
      <c r="G37" s="81">
        <f t="shared" si="0"/>
        <v>1463</v>
      </c>
      <c r="H37" s="29">
        <f t="shared" si="5"/>
        <v>478.40100000000007</v>
      </c>
      <c r="I37" s="81">
        <f t="shared" si="6"/>
        <v>1941.4010000000001</v>
      </c>
      <c r="J37" s="9" t="s">
        <v>22</v>
      </c>
      <c r="K37" s="245"/>
    </row>
    <row r="38" spans="1:15" x14ac:dyDescent="0.2">
      <c r="A38" s="9"/>
      <c r="B38" s="19" t="s">
        <v>130</v>
      </c>
      <c r="C38" s="93" t="s">
        <v>103</v>
      </c>
      <c r="D38" s="7" t="s">
        <v>13</v>
      </c>
      <c r="E38" s="174">
        <f>14+121</f>
        <v>135</v>
      </c>
      <c r="F38" s="5">
        <v>19.25</v>
      </c>
      <c r="G38" s="81">
        <f t="shared" si="0"/>
        <v>2598.75</v>
      </c>
      <c r="H38" s="29">
        <f t="shared" si="5"/>
        <v>849.7912500000001</v>
      </c>
      <c r="I38" s="81">
        <f t="shared" si="6"/>
        <v>3448.5412500000002</v>
      </c>
      <c r="J38" s="9" t="s">
        <v>22</v>
      </c>
      <c r="K38" s="245"/>
    </row>
    <row r="39" spans="1:15" x14ac:dyDescent="0.2">
      <c r="A39" s="9" t="s">
        <v>14</v>
      </c>
      <c r="B39" s="19" t="s">
        <v>131</v>
      </c>
      <c r="C39" s="93" t="s">
        <v>103</v>
      </c>
      <c r="D39" s="7" t="s">
        <v>13</v>
      </c>
      <c r="E39" s="174">
        <v>114</v>
      </c>
      <c r="F39" s="5">
        <v>19.25</v>
      </c>
      <c r="G39" s="81">
        <f t="shared" si="0"/>
        <v>2194.5</v>
      </c>
      <c r="H39" s="29">
        <f t="shared" si="5"/>
        <v>717.6015000000001</v>
      </c>
      <c r="I39" s="81">
        <f t="shared" si="6"/>
        <v>2912.1015000000002</v>
      </c>
      <c r="J39" s="9" t="s">
        <v>22</v>
      </c>
      <c r="K39" s="245"/>
    </row>
    <row r="40" spans="1:15" x14ac:dyDescent="0.2">
      <c r="A40" s="9"/>
      <c r="B40" s="265" t="s">
        <v>140</v>
      </c>
      <c r="C40" s="93" t="s">
        <v>103</v>
      </c>
      <c r="D40" s="7" t="s">
        <v>13</v>
      </c>
      <c r="E40" s="174">
        <f>20</f>
        <v>20</v>
      </c>
      <c r="F40" s="164">
        <v>35</v>
      </c>
      <c r="G40" s="154">
        <f t="shared" si="0"/>
        <v>700</v>
      </c>
      <c r="H40" s="154">
        <f t="shared" si="5"/>
        <v>228.90000000000003</v>
      </c>
      <c r="I40" s="154">
        <f t="shared" si="6"/>
        <v>928.90000000000009</v>
      </c>
      <c r="J40" s="9" t="s">
        <v>22</v>
      </c>
      <c r="K40" s="245"/>
    </row>
    <row r="41" spans="1:15" x14ac:dyDescent="0.2">
      <c r="A41" s="9" t="s">
        <v>14</v>
      </c>
      <c r="B41" s="265" t="s">
        <v>106</v>
      </c>
      <c r="C41" s="93" t="s">
        <v>103</v>
      </c>
      <c r="D41" s="7" t="s">
        <v>13</v>
      </c>
      <c r="E41" s="174">
        <v>68</v>
      </c>
      <c r="F41" s="164">
        <v>38.5</v>
      </c>
      <c r="G41" s="154">
        <f t="shared" si="0"/>
        <v>2618</v>
      </c>
      <c r="H41" s="154">
        <f t="shared" si="5"/>
        <v>856.08600000000001</v>
      </c>
      <c r="I41" s="154">
        <f t="shared" si="6"/>
        <v>3474.0860000000002</v>
      </c>
      <c r="J41" s="9" t="s">
        <v>22</v>
      </c>
      <c r="K41" s="245"/>
    </row>
    <row r="42" spans="1:15" ht="22.5" x14ac:dyDescent="0.2">
      <c r="A42" s="9" t="s">
        <v>14</v>
      </c>
      <c r="B42" s="77" t="s">
        <v>169</v>
      </c>
      <c r="C42" s="93" t="s">
        <v>18</v>
      </c>
      <c r="D42" s="7" t="s">
        <v>13</v>
      </c>
      <c r="E42" s="174">
        <v>267</v>
      </c>
      <c r="F42" s="5">
        <v>19.25</v>
      </c>
      <c r="G42" s="81">
        <v>4677.6400000000003</v>
      </c>
      <c r="H42" s="29">
        <f t="shared" si="5"/>
        <v>1529.5882800000004</v>
      </c>
      <c r="I42" s="81">
        <f t="shared" si="6"/>
        <v>6207.2282800000012</v>
      </c>
      <c r="J42" s="9" t="s">
        <v>22</v>
      </c>
      <c r="K42" s="245"/>
    </row>
    <row r="43" spans="1:15" x14ac:dyDescent="0.2">
      <c r="A43" s="9"/>
      <c r="B43" s="252" t="s">
        <v>159</v>
      </c>
      <c r="C43" s="189"/>
      <c r="D43" s="181"/>
      <c r="E43" s="206">
        <v>35</v>
      </c>
      <c r="F43" s="207"/>
      <c r="G43" s="256">
        <v>617.82000000000005</v>
      </c>
      <c r="H43" s="256">
        <f t="shared" si="5"/>
        <v>202.02714000000003</v>
      </c>
      <c r="I43" s="256">
        <f t="shared" si="6"/>
        <v>819.84714000000008</v>
      </c>
      <c r="J43" s="9" t="s">
        <v>22</v>
      </c>
      <c r="K43" s="245"/>
    </row>
    <row r="44" spans="1:15" ht="12.75" customHeight="1" x14ac:dyDescent="0.25">
      <c r="A44" s="9"/>
      <c r="B44" s="209" t="s">
        <v>94</v>
      </c>
      <c r="C44" s="210"/>
      <c r="D44" s="201"/>
      <c r="E44" s="215">
        <f>SUM(E5:E43)+E40+E41+E37</f>
        <v>1953</v>
      </c>
      <c r="F44" s="211"/>
      <c r="G44" s="212">
        <f>SUM(G5:G43)</f>
        <v>35640.46</v>
      </c>
      <c r="H44" s="212">
        <f>SUM(H5:H43)</f>
        <v>11654.430420000002</v>
      </c>
      <c r="I44" s="212">
        <f>SUM(I5:I43)</f>
        <v>47294.890419999996</v>
      </c>
      <c r="J44" s="9" t="s">
        <v>22</v>
      </c>
      <c r="K44" s="245"/>
    </row>
    <row r="45" spans="1:15" s="15" customFormat="1" ht="1.5" customHeight="1" x14ac:dyDescent="0.25">
      <c r="A45" s="16"/>
      <c r="B45" s="21"/>
      <c r="C45" s="22"/>
      <c r="D45" s="23"/>
      <c r="E45" s="213"/>
      <c r="F45" s="213"/>
      <c r="G45" s="214"/>
      <c r="H45" s="214"/>
      <c r="I45" s="214"/>
      <c r="K45" s="246"/>
      <c r="L45" s="2"/>
      <c r="M45" s="2"/>
      <c r="N45" s="32"/>
      <c r="O45" s="32"/>
    </row>
    <row r="46" spans="1:15" s="1" customFormat="1" ht="5.25" customHeight="1" thickBot="1" x14ac:dyDescent="0.3">
      <c r="A46" s="135"/>
      <c r="B46" s="135"/>
      <c r="C46" s="17"/>
      <c r="E46" s="315"/>
      <c r="F46" s="316"/>
      <c r="G46" s="316"/>
      <c r="H46" s="316"/>
      <c r="I46" s="317"/>
      <c r="K46" s="135"/>
      <c r="L46" s="2"/>
      <c r="M46" s="2"/>
      <c r="N46" s="32"/>
      <c r="O46" s="32"/>
    </row>
    <row r="47" spans="1:15" ht="20.25" customHeight="1" x14ac:dyDescent="0.2">
      <c r="A47" s="129"/>
      <c r="B47" s="130" t="s">
        <v>0</v>
      </c>
      <c r="C47" s="131" t="s">
        <v>32</v>
      </c>
      <c r="D47" s="131" t="s">
        <v>11</v>
      </c>
      <c r="E47" s="131" t="s">
        <v>2</v>
      </c>
      <c r="F47" s="131" t="s">
        <v>3</v>
      </c>
      <c r="G47" s="132" t="s">
        <v>4</v>
      </c>
      <c r="H47" s="132" t="s">
        <v>5</v>
      </c>
      <c r="I47" s="132" t="s">
        <v>6</v>
      </c>
      <c r="J47" s="133" t="s">
        <v>31</v>
      </c>
      <c r="K47" s="247"/>
    </row>
    <row r="48" spans="1:15" ht="13.5" customHeight="1" x14ac:dyDescent="0.2">
      <c r="A48" s="98" t="s">
        <v>7</v>
      </c>
      <c r="B48" s="20" t="s">
        <v>38</v>
      </c>
      <c r="C48" s="6">
        <v>15</v>
      </c>
      <c r="D48" s="12" t="s">
        <v>12</v>
      </c>
      <c r="E48" s="6">
        <v>135</v>
      </c>
      <c r="F48" s="6">
        <v>12.5</v>
      </c>
      <c r="G48" s="33">
        <f t="shared" ref="G48:G55" si="7">E48*F48</f>
        <v>1687.5</v>
      </c>
      <c r="H48" s="11">
        <f t="shared" ref="H48:H56" si="8">G48*32.7/100</f>
        <v>551.81250000000011</v>
      </c>
      <c r="I48" s="31">
        <f t="shared" ref="I48:I56" si="9">G48+H48</f>
        <v>2239.3125</v>
      </c>
      <c r="J48" s="126" t="s">
        <v>22</v>
      </c>
      <c r="K48" s="245"/>
    </row>
    <row r="49" spans="1:11" ht="19.5" customHeight="1" x14ac:dyDescent="0.2">
      <c r="A49" s="98" t="s">
        <v>7</v>
      </c>
      <c r="B49" s="26" t="s">
        <v>29</v>
      </c>
      <c r="C49" s="6">
        <v>14</v>
      </c>
      <c r="D49" s="12" t="s">
        <v>13</v>
      </c>
      <c r="E49" s="6">
        <v>53</v>
      </c>
      <c r="F49" s="6">
        <v>13.75</v>
      </c>
      <c r="G49" s="33">
        <f t="shared" si="7"/>
        <v>728.75</v>
      </c>
      <c r="H49" s="33">
        <f t="shared" si="8"/>
        <v>238.30125000000004</v>
      </c>
      <c r="I49" s="31">
        <f t="shared" si="9"/>
        <v>967.05124999999998</v>
      </c>
      <c r="J49" s="126" t="s">
        <v>22</v>
      </c>
      <c r="K49" s="167"/>
    </row>
    <row r="50" spans="1:11" ht="19.5" customHeight="1" x14ac:dyDescent="0.2">
      <c r="A50" s="98" t="s">
        <v>7</v>
      </c>
      <c r="B50" s="26" t="s">
        <v>30</v>
      </c>
      <c r="C50" s="6">
        <v>14</v>
      </c>
      <c r="D50" s="12" t="s">
        <v>13</v>
      </c>
      <c r="E50" s="6">
        <v>101</v>
      </c>
      <c r="F50" s="6">
        <v>13.75</v>
      </c>
      <c r="G50" s="33">
        <f t="shared" si="7"/>
        <v>1388.75</v>
      </c>
      <c r="H50" s="33">
        <f t="shared" si="8"/>
        <v>454.12125000000009</v>
      </c>
      <c r="I50" s="31">
        <f t="shared" si="9"/>
        <v>1842.8712500000001</v>
      </c>
      <c r="J50" s="126" t="s">
        <v>22</v>
      </c>
      <c r="K50" s="167"/>
    </row>
    <row r="51" spans="1:11" ht="12.75" customHeight="1" x14ac:dyDescent="0.2">
      <c r="A51" s="98" t="s">
        <v>7</v>
      </c>
      <c r="B51" s="26" t="s">
        <v>110</v>
      </c>
      <c r="C51" s="6">
        <v>7</v>
      </c>
      <c r="D51" s="12" t="s">
        <v>12</v>
      </c>
      <c r="E51" s="6">
        <v>57</v>
      </c>
      <c r="F51" s="6">
        <v>12.5</v>
      </c>
      <c r="G51" s="33">
        <f>E51*F51</f>
        <v>712.5</v>
      </c>
      <c r="H51" s="33">
        <f t="shared" si="8"/>
        <v>232.98750000000004</v>
      </c>
      <c r="I51" s="31">
        <f>G51+H51</f>
        <v>945.48750000000007</v>
      </c>
      <c r="J51" s="126" t="s">
        <v>22</v>
      </c>
      <c r="K51" s="167"/>
    </row>
    <row r="52" spans="1:11" ht="12.75" customHeight="1" x14ac:dyDescent="0.2">
      <c r="A52" s="98" t="s">
        <v>7</v>
      </c>
      <c r="B52" s="26" t="s">
        <v>79</v>
      </c>
      <c r="C52" s="6">
        <v>3</v>
      </c>
      <c r="D52" s="12" t="s">
        <v>12</v>
      </c>
      <c r="E52" s="6">
        <v>15</v>
      </c>
      <c r="F52" s="6">
        <v>12.5</v>
      </c>
      <c r="G52" s="33">
        <f>E52*F52</f>
        <v>187.5</v>
      </c>
      <c r="H52" s="33">
        <f t="shared" si="8"/>
        <v>61.312500000000007</v>
      </c>
      <c r="I52" s="31">
        <f>G52+H52</f>
        <v>248.8125</v>
      </c>
      <c r="J52" s="126" t="s">
        <v>22</v>
      </c>
      <c r="K52" s="167"/>
    </row>
    <row r="53" spans="1:11" ht="12.75" customHeight="1" x14ac:dyDescent="0.2">
      <c r="A53" s="98" t="s">
        <v>7</v>
      </c>
      <c r="B53" s="26" t="s">
        <v>99</v>
      </c>
      <c r="C53" s="6">
        <v>3</v>
      </c>
      <c r="D53" s="12" t="s">
        <v>12</v>
      </c>
      <c r="E53" s="6">
        <v>53</v>
      </c>
      <c r="F53" s="6">
        <v>12.5</v>
      </c>
      <c r="G53" s="33">
        <f>E53*F53</f>
        <v>662.5</v>
      </c>
      <c r="H53" s="33">
        <f t="shared" si="8"/>
        <v>216.63750000000005</v>
      </c>
      <c r="I53" s="31">
        <f>G53+H53</f>
        <v>879.13750000000005</v>
      </c>
      <c r="J53" s="126"/>
      <c r="K53" s="167"/>
    </row>
    <row r="54" spans="1:11" ht="28.5" customHeight="1" x14ac:dyDescent="0.2">
      <c r="A54" s="98" t="s">
        <v>7</v>
      </c>
      <c r="B54" s="26" t="s">
        <v>116</v>
      </c>
      <c r="C54" s="6">
        <v>12</v>
      </c>
      <c r="D54" s="12" t="s">
        <v>12</v>
      </c>
      <c r="E54" s="6">
        <v>56</v>
      </c>
      <c r="F54" s="6">
        <v>12.5</v>
      </c>
      <c r="G54" s="33">
        <f t="shared" si="7"/>
        <v>700</v>
      </c>
      <c r="H54" s="33">
        <f t="shared" si="8"/>
        <v>228.90000000000003</v>
      </c>
      <c r="I54" s="31">
        <f t="shared" si="9"/>
        <v>928.90000000000009</v>
      </c>
      <c r="J54" s="126" t="s">
        <v>22</v>
      </c>
      <c r="K54" s="167"/>
    </row>
    <row r="55" spans="1:11" ht="18" customHeight="1" x14ac:dyDescent="0.2">
      <c r="A55" s="98" t="s">
        <v>7</v>
      </c>
      <c r="B55" s="26" t="s">
        <v>149</v>
      </c>
      <c r="C55" s="6">
        <v>3</v>
      </c>
      <c r="D55" s="12" t="s">
        <v>12</v>
      </c>
      <c r="E55" s="6">
        <v>42</v>
      </c>
      <c r="F55" s="6">
        <v>12.5</v>
      </c>
      <c r="G55" s="33">
        <f t="shared" si="7"/>
        <v>525</v>
      </c>
      <c r="H55" s="33">
        <f t="shared" si="8"/>
        <v>171.67500000000001</v>
      </c>
      <c r="I55" s="31">
        <f t="shared" si="9"/>
        <v>696.67499999999995</v>
      </c>
      <c r="J55" s="126" t="s">
        <v>22</v>
      </c>
      <c r="K55" s="167"/>
    </row>
    <row r="56" spans="1:11" ht="12" customHeight="1" x14ac:dyDescent="0.2">
      <c r="A56" s="98" t="s">
        <v>7</v>
      </c>
      <c r="B56" s="26" t="s">
        <v>160</v>
      </c>
      <c r="C56" s="6"/>
      <c r="D56" s="12" t="s">
        <v>12</v>
      </c>
      <c r="E56" s="6"/>
      <c r="F56" s="6"/>
      <c r="G56" s="33">
        <v>382.73</v>
      </c>
      <c r="H56" s="33">
        <f t="shared" si="8"/>
        <v>125.15271000000003</v>
      </c>
      <c r="I56" s="31">
        <f t="shared" si="9"/>
        <v>507.88271000000003</v>
      </c>
      <c r="J56" s="126" t="s">
        <v>22</v>
      </c>
      <c r="K56" s="167"/>
    </row>
    <row r="57" spans="1:11" ht="13.5" thickBot="1" x14ac:dyDescent="0.25">
      <c r="A57" s="99"/>
      <c r="B57" s="134"/>
      <c r="C57" s="194" t="s">
        <v>9</v>
      </c>
      <c r="D57" s="279"/>
      <c r="E57" s="194">
        <f>SUM(E48:E56)</f>
        <v>512</v>
      </c>
      <c r="F57" s="194"/>
      <c r="G57" s="195">
        <f>SUM(G48:G56)</f>
        <v>6975.23</v>
      </c>
      <c r="H57" s="195">
        <f>SUM(H48:H56)</f>
        <v>2280.9002100000002</v>
      </c>
      <c r="I57" s="195">
        <f>SUM(I48:I56)</f>
        <v>9256.1302099999994</v>
      </c>
      <c r="J57" s="110" t="s">
        <v>22</v>
      </c>
      <c r="K57" s="167"/>
    </row>
    <row r="58" spans="1:11" ht="12" customHeight="1" x14ac:dyDescent="0.2">
      <c r="A58" s="94" t="s">
        <v>8</v>
      </c>
      <c r="B58" s="144" t="s">
        <v>37</v>
      </c>
      <c r="C58" s="119">
        <v>3</v>
      </c>
      <c r="D58" s="12" t="s">
        <v>12</v>
      </c>
      <c r="E58" s="119">
        <v>90</v>
      </c>
      <c r="F58" s="119">
        <v>14.5</v>
      </c>
      <c r="G58" s="97">
        <f>E58*F58</f>
        <v>1305</v>
      </c>
      <c r="H58" s="97">
        <f t="shared" ref="H58:H66" si="10">G58*32.7/100</f>
        <v>426.73500000000007</v>
      </c>
      <c r="I58" s="97">
        <f t="shared" ref="I58:I66" si="11">G58+H58</f>
        <v>1731.7350000000001</v>
      </c>
      <c r="J58" s="125" t="s">
        <v>22</v>
      </c>
      <c r="K58" s="167"/>
    </row>
    <row r="59" spans="1:11" ht="12" customHeight="1" x14ac:dyDescent="0.2">
      <c r="A59" s="98" t="s">
        <v>8</v>
      </c>
      <c r="B59" s="10" t="s">
        <v>38</v>
      </c>
      <c r="C59" s="6">
        <v>3</v>
      </c>
      <c r="D59" s="12" t="s">
        <v>12</v>
      </c>
      <c r="E59" s="6">
        <v>21</v>
      </c>
      <c r="F59" s="6">
        <v>14.5</v>
      </c>
      <c r="G59" s="33">
        <f t="shared" ref="G59:G65" si="12">E59*F59</f>
        <v>304.5</v>
      </c>
      <c r="H59" s="33">
        <f t="shared" si="10"/>
        <v>99.571500000000015</v>
      </c>
      <c r="I59" s="33">
        <f t="shared" si="11"/>
        <v>404.07150000000001</v>
      </c>
      <c r="J59" s="126" t="s">
        <v>22</v>
      </c>
      <c r="K59" s="167"/>
    </row>
    <row r="60" spans="1:11" ht="12" customHeight="1" x14ac:dyDescent="0.2">
      <c r="A60" s="98" t="s">
        <v>8</v>
      </c>
      <c r="B60" s="10" t="s">
        <v>25</v>
      </c>
      <c r="C60" s="6">
        <v>1</v>
      </c>
      <c r="D60" s="12" t="s">
        <v>12</v>
      </c>
      <c r="E60" s="6">
        <v>5</v>
      </c>
      <c r="F60" s="6">
        <v>14.5</v>
      </c>
      <c r="G60" s="33">
        <f t="shared" si="12"/>
        <v>72.5</v>
      </c>
      <c r="H60" s="33">
        <f t="shared" si="10"/>
        <v>23.7075</v>
      </c>
      <c r="I60" s="33">
        <f t="shared" si="11"/>
        <v>96.207499999999996</v>
      </c>
      <c r="J60" s="126" t="s">
        <v>22</v>
      </c>
      <c r="K60" s="167"/>
    </row>
    <row r="61" spans="1:11" ht="12" customHeight="1" x14ac:dyDescent="0.2">
      <c r="A61" s="98" t="s">
        <v>8</v>
      </c>
      <c r="B61" s="59" t="s">
        <v>100</v>
      </c>
      <c r="C61" s="6">
        <v>3</v>
      </c>
      <c r="D61" s="12" t="s">
        <v>12</v>
      </c>
      <c r="E61" s="6">
        <v>9</v>
      </c>
      <c r="F61" s="6">
        <v>14.5</v>
      </c>
      <c r="G61" s="33">
        <f t="shared" si="12"/>
        <v>130.5</v>
      </c>
      <c r="H61" s="33">
        <f t="shared" si="10"/>
        <v>42.673500000000004</v>
      </c>
      <c r="I61" s="33">
        <f t="shared" si="11"/>
        <v>173.17349999999999</v>
      </c>
      <c r="J61" s="126" t="s">
        <v>22</v>
      </c>
      <c r="K61" s="167"/>
    </row>
    <row r="62" spans="1:11" ht="12" customHeight="1" x14ac:dyDescent="0.2">
      <c r="A62" s="98" t="s">
        <v>8</v>
      </c>
      <c r="B62" s="26" t="s">
        <v>123</v>
      </c>
      <c r="C62" s="6">
        <v>3</v>
      </c>
      <c r="D62" s="12" t="s">
        <v>12</v>
      </c>
      <c r="E62" s="6">
        <v>20</v>
      </c>
      <c r="F62" s="6">
        <v>14.5</v>
      </c>
      <c r="G62" s="33">
        <f t="shared" si="12"/>
        <v>290</v>
      </c>
      <c r="H62" s="33">
        <f t="shared" si="10"/>
        <v>94.83</v>
      </c>
      <c r="I62" s="33">
        <f t="shared" si="11"/>
        <v>384.83</v>
      </c>
      <c r="J62" s="126" t="s">
        <v>22</v>
      </c>
      <c r="K62" s="167"/>
    </row>
    <row r="63" spans="1:11" ht="12" customHeight="1" x14ac:dyDescent="0.2">
      <c r="A63" s="98" t="s">
        <v>8</v>
      </c>
      <c r="B63" s="26" t="s">
        <v>62</v>
      </c>
      <c r="C63" s="6">
        <v>1</v>
      </c>
      <c r="D63" s="12" t="s">
        <v>12</v>
      </c>
      <c r="E63" s="6">
        <v>15</v>
      </c>
      <c r="F63" s="6">
        <v>14.5</v>
      </c>
      <c r="G63" s="33">
        <f t="shared" si="12"/>
        <v>217.5</v>
      </c>
      <c r="H63" s="33">
        <f t="shared" si="10"/>
        <v>71.122500000000002</v>
      </c>
      <c r="I63" s="33">
        <f t="shared" si="11"/>
        <v>288.6225</v>
      </c>
      <c r="J63" s="126" t="s">
        <v>22</v>
      </c>
      <c r="K63" s="167"/>
    </row>
    <row r="64" spans="1:11" ht="12" customHeight="1" x14ac:dyDescent="0.2">
      <c r="A64" s="98" t="s">
        <v>8</v>
      </c>
      <c r="B64" s="26" t="s">
        <v>124</v>
      </c>
      <c r="C64" s="6">
        <v>1</v>
      </c>
      <c r="D64" s="12" t="s">
        <v>12</v>
      </c>
      <c r="E64" s="6">
        <v>10</v>
      </c>
      <c r="F64" s="6">
        <v>14.5</v>
      </c>
      <c r="G64" s="33">
        <f t="shared" si="12"/>
        <v>145</v>
      </c>
      <c r="H64" s="33">
        <f t="shared" si="10"/>
        <v>47.414999999999999</v>
      </c>
      <c r="I64" s="33">
        <f t="shared" si="11"/>
        <v>192.41499999999999</v>
      </c>
      <c r="J64" s="126" t="s">
        <v>22</v>
      </c>
      <c r="K64" s="167"/>
    </row>
    <row r="65" spans="1:15" ht="12" customHeight="1" x14ac:dyDescent="0.2">
      <c r="A65" s="98" t="s">
        <v>153</v>
      </c>
      <c r="B65" s="177" t="s">
        <v>154</v>
      </c>
      <c r="C65" s="6">
        <v>1</v>
      </c>
      <c r="D65" s="12" t="s">
        <v>12</v>
      </c>
      <c r="E65" s="6">
        <v>10</v>
      </c>
      <c r="F65" s="6">
        <v>14.5</v>
      </c>
      <c r="G65" s="33">
        <f t="shared" si="12"/>
        <v>145</v>
      </c>
      <c r="H65" s="33">
        <f t="shared" si="10"/>
        <v>47.414999999999999</v>
      </c>
      <c r="I65" s="33">
        <f t="shared" si="11"/>
        <v>192.41499999999999</v>
      </c>
      <c r="J65" s="126" t="s">
        <v>22</v>
      </c>
      <c r="K65" s="167"/>
    </row>
    <row r="66" spans="1:15" ht="12" customHeight="1" x14ac:dyDescent="0.2">
      <c r="A66" s="98" t="s">
        <v>8</v>
      </c>
      <c r="B66" s="26" t="s">
        <v>160</v>
      </c>
      <c r="C66" s="272"/>
      <c r="D66" s="12" t="s">
        <v>12</v>
      </c>
      <c r="E66" s="272"/>
      <c r="F66" s="272"/>
      <c r="G66" s="33">
        <v>1200</v>
      </c>
      <c r="H66" s="33">
        <f t="shared" si="10"/>
        <v>392.4</v>
      </c>
      <c r="I66" s="33">
        <f t="shared" si="11"/>
        <v>1592.4</v>
      </c>
      <c r="J66" s="126" t="s">
        <v>22</v>
      </c>
      <c r="K66" s="167"/>
    </row>
    <row r="67" spans="1:15" ht="15" customHeight="1" thickBot="1" x14ac:dyDescent="0.25">
      <c r="A67" s="127"/>
      <c r="B67" s="128"/>
      <c r="C67" s="194" t="s">
        <v>9</v>
      </c>
      <c r="D67" s="194"/>
      <c r="E67" s="194">
        <f>SUM(E58:E65)</f>
        <v>180</v>
      </c>
      <c r="F67" s="194"/>
      <c r="G67" s="195">
        <f>SUM(G58:G66)</f>
        <v>3810</v>
      </c>
      <c r="H67" s="195">
        <f>SUM(H58:H66)</f>
        <v>1245.8699999999999</v>
      </c>
      <c r="I67" s="195">
        <f>SUM(I58:I66)</f>
        <v>5055.87</v>
      </c>
      <c r="J67" s="126" t="s">
        <v>22</v>
      </c>
      <c r="K67" s="167"/>
    </row>
    <row r="68" spans="1:15" ht="21.75" customHeight="1" thickBot="1" x14ac:dyDescent="0.25">
      <c r="A68" s="9" t="s">
        <v>16</v>
      </c>
      <c r="B68" s="77" t="s">
        <v>179</v>
      </c>
      <c r="C68" s="77"/>
      <c r="D68" s="274"/>
      <c r="E68" s="194">
        <v>50</v>
      </c>
      <c r="F68" s="194"/>
      <c r="G68" s="195">
        <v>803.26</v>
      </c>
      <c r="H68" s="195">
        <f t="shared" ref="H68" si="13">G68*32.7/100</f>
        <v>262.66602</v>
      </c>
      <c r="I68" s="195">
        <f t="shared" ref="I68" si="14">G68+H68</f>
        <v>1065.9260199999999</v>
      </c>
      <c r="J68" s="126"/>
      <c r="K68" s="167"/>
    </row>
    <row r="69" spans="1:15" ht="16.5" customHeight="1" thickBot="1" x14ac:dyDescent="0.25">
      <c r="A69" s="99"/>
      <c r="B69" s="109"/>
      <c r="C69" s="191" t="s">
        <v>10</v>
      </c>
      <c r="D69" s="192"/>
      <c r="E69" s="191">
        <f>E57+E67</f>
        <v>692</v>
      </c>
      <c r="F69" s="191">
        <f>F57+F67</f>
        <v>0</v>
      </c>
      <c r="G69" s="193">
        <f>G57+G67+G68</f>
        <v>11588.49</v>
      </c>
      <c r="H69" s="193">
        <f t="shared" ref="H69:I69" si="15">H57+H67+H68</f>
        <v>3789.4362300000003</v>
      </c>
      <c r="I69" s="193">
        <f t="shared" si="15"/>
        <v>15377.926229999997</v>
      </c>
      <c r="J69" s="126" t="s">
        <v>22</v>
      </c>
      <c r="K69" s="167"/>
      <c r="M69" s="273"/>
    </row>
    <row r="70" spans="1:15" ht="18.75" customHeight="1" thickBot="1" x14ac:dyDescent="0.3">
      <c r="A70" s="99"/>
      <c r="B70" s="182"/>
      <c r="C70" s="183"/>
      <c r="D70" s="179"/>
      <c r="E70" s="178"/>
      <c r="F70" s="180" t="s">
        <v>111</v>
      </c>
      <c r="G70" s="184">
        <f>G44+G69</f>
        <v>47228.95</v>
      </c>
      <c r="H70" s="184">
        <f>H44+H69</f>
        <v>15443.866650000004</v>
      </c>
      <c r="I70" s="184">
        <f>I44+I69</f>
        <v>62672.816649999993</v>
      </c>
      <c r="J70" s="124"/>
      <c r="K70" s="167"/>
    </row>
    <row r="71" spans="1:15" ht="13.5" customHeight="1" x14ac:dyDescent="0.2">
      <c r="A71" s="94" t="s">
        <v>19</v>
      </c>
      <c r="B71" s="177" t="s">
        <v>26</v>
      </c>
      <c r="C71" s="119"/>
      <c r="D71" s="120"/>
      <c r="E71" s="119"/>
      <c r="F71" s="119"/>
      <c r="G71" s="97">
        <v>2880</v>
      </c>
      <c r="H71" s="97">
        <f>G71*32.7/100</f>
        <v>941.7600000000001</v>
      </c>
      <c r="I71" s="97">
        <f>G71+H71</f>
        <v>3821.76</v>
      </c>
      <c r="J71" s="121" t="s">
        <v>22</v>
      </c>
      <c r="K71" s="167"/>
    </row>
    <row r="72" spans="1:15" ht="13.5" customHeight="1" x14ac:dyDescent="0.2">
      <c r="A72" s="98" t="s">
        <v>8</v>
      </c>
      <c r="B72" s="177" t="s">
        <v>27</v>
      </c>
      <c r="C72" s="6">
        <v>1</v>
      </c>
      <c r="D72" s="12" t="s">
        <v>28</v>
      </c>
      <c r="E72" s="6"/>
      <c r="F72" s="6"/>
      <c r="G72" s="33">
        <v>325.2</v>
      </c>
      <c r="H72" s="33">
        <f t="shared" ref="H72" si="16">G72*32.7/100</f>
        <v>106.3404</v>
      </c>
      <c r="I72" s="33">
        <f t="shared" ref="I72" si="17">G72+H72</f>
        <v>431.54039999999998</v>
      </c>
      <c r="J72" s="108" t="s">
        <v>22</v>
      </c>
      <c r="K72" s="167"/>
      <c r="M72" s="24"/>
    </row>
    <row r="73" spans="1:15" ht="12" customHeight="1" thickBot="1" x14ac:dyDescent="0.25">
      <c r="A73" s="68"/>
      <c r="B73" s="122"/>
      <c r="C73" s="100" t="s">
        <v>9</v>
      </c>
      <c r="D73" s="123"/>
      <c r="E73" s="101"/>
      <c r="F73" s="101"/>
      <c r="G73" s="102">
        <f>SUM(G71:G72)</f>
        <v>3205.2</v>
      </c>
      <c r="H73" s="69">
        <f>SUM(H71:H72)</f>
        <v>1048.1004</v>
      </c>
      <c r="I73" s="69">
        <f>SUM(I71:I72)</f>
        <v>4253.3004000000001</v>
      </c>
      <c r="J73" s="124"/>
      <c r="K73" s="167"/>
      <c r="M73" s="24"/>
    </row>
    <row r="74" spans="1:15" ht="15" customHeight="1" thickBot="1" x14ac:dyDescent="0.35">
      <c r="A74" s="68"/>
      <c r="B74" s="257"/>
      <c r="C74" s="258"/>
      <c r="D74" s="259"/>
      <c r="E74" s="260"/>
      <c r="F74" s="261" t="s">
        <v>112</v>
      </c>
      <c r="G74" s="262">
        <f>G70+G73</f>
        <v>50434.149999999994</v>
      </c>
      <c r="H74" s="262">
        <f t="shared" ref="H74:I74" si="18">H70+H73</f>
        <v>16491.967050000003</v>
      </c>
      <c r="I74" s="262">
        <f t="shared" si="18"/>
        <v>66926.117050000001</v>
      </c>
      <c r="J74" s="124"/>
      <c r="K74" s="167"/>
    </row>
    <row r="75" spans="1:15" ht="9.75" customHeight="1" thickBot="1" x14ac:dyDescent="0.25"/>
    <row r="76" spans="1:15" s="27" customFormat="1" ht="27" customHeight="1" thickBot="1" x14ac:dyDescent="0.25">
      <c r="A76" s="103"/>
      <c r="B76" s="104" t="s">
        <v>0</v>
      </c>
      <c r="C76" s="105" t="s">
        <v>33</v>
      </c>
      <c r="D76" s="104"/>
      <c r="E76" s="104" t="s">
        <v>34</v>
      </c>
      <c r="F76" s="104" t="s">
        <v>36</v>
      </c>
      <c r="G76" s="106" t="s">
        <v>4</v>
      </c>
      <c r="H76" s="106" t="s">
        <v>5</v>
      </c>
      <c r="I76" s="106" t="s">
        <v>6</v>
      </c>
      <c r="J76" s="107"/>
      <c r="K76" s="169"/>
      <c r="N76" s="34"/>
      <c r="O76" s="34"/>
    </row>
    <row r="77" spans="1:15" ht="21.75" customHeight="1" thickBot="1" x14ac:dyDescent="0.25">
      <c r="A77" s="67" t="s">
        <v>14</v>
      </c>
      <c r="B77" s="238" t="s">
        <v>158</v>
      </c>
      <c r="C77" s="208"/>
      <c r="D77" s="208" t="s">
        <v>129</v>
      </c>
      <c r="E77" s="271">
        <v>7</v>
      </c>
      <c r="F77" s="208"/>
      <c r="G77" s="208">
        <v>2982.18</v>
      </c>
      <c r="H77" s="208">
        <f>G77*32.7/100</f>
        <v>975.17286000000013</v>
      </c>
      <c r="I77" s="208">
        <f>G77+H77</f>
        <v>3957.35286</v>
      </c>
      <c r="J77" s="108" t="s">
        <v>22</v>
      </c>
      <c r="K77" s="167"/>
    </row>
    <row r="78" spans="1:15" ht="15.75" customHeight="1" thickBot="1" x14ac:dyDescent="0.25">
      <c r="A78" s="226"/>
      <c r="B78" s="228"/>
      <c r="C78" s="229"/>
      <c r="D78" s="230"/>
      <c r="E78" s="231"/>
      <c r="F78" s="231"/>
      <c r="G78" s="232"/>
      <c r="H78" s="232"/>
      <c r="I78" s="233"/>
      <c r="J78" s="234"/>
      <c r="K78" s="167"/>
    </row>
    <row r="79" spans="1:15" ht="21" customHeight="1" x14ac:dyDescent="0.2">
      <c r="A79" s="227"/>
      <c r="B79" s="104" t="s">
        <v>0</v>
      </c>
      <c r="C79" s="105" t="s">
        <v>33</v>
      </c>
      <c r="D79" s="104"/>
      <c r="E79" s="104" t="s">
        <v>34</v>
      </c>
      <c r="F79" s="104" t="s">
        <v>36</v>
      </c>
      <c r="G79" s="106" t="s">
        <v>4</v>
      </c>
      <c r="H79" s="106" t="s">
        <v>5</v>
      </c>
      <c r="I79" s="106" t="s">
        <v>6</v>
      </c>
      <c r="J79" s="108"/>
      <c r="K79" s="167"/>
    </row>
    <row r="80" spans="1:15" ht="15.75" customHeight="1" x14ac:dyDescent="0.2">
      <c r="A80" s="145" t="s">
        <v>16</v>
      </c>
      <c r="B80" s="216" t="s">
        <v>162</v>
      </c>
      <c r="C80" s="217" t="s">
        <v>17</v>
      </c>
      <c r="D80" s="218"/>
      <c r="E80" s="219"/>
      <c r="F80" s="219"/>
      <c r="G80" s="220">
        <v>1200</v>
      </c>
      <c r="H80" s="220">
        <f>G80*32.7/100</f>
        <v>392.4</v>
      </c>
      <c r="I80" s="221">
        <f>G80+H80</f>
        <v>1592.4</v>
      </c>
      <c r="J80" s="108" t="s">
        <v>22</v>
      </c>
      <c r="K80" s="167"/>
    </row>
    <row r="81" spans="1:15" ht="15.75" customHeight="1" x14ac:dyDescent="0.2">
      <c r="A81" s="145" t="s">
        <v>16</v>
      </c>
      <c r="B81" s="216" t="s">
        <v>163</v>
      </c>
      <c r="C81" s="217" t="s">
        <v>82</v>
      </c>
      <c r="D81" s="218"/>
      <c r="E81" s="219"/>
      <c r="F81" s="219"/>
      <c r="G81" s="220">
        <v>617.27</v>
      </c>
      <c r="H81" s="220">
        <f>G81*32.7/100</f>
        <v>201.84728999999999</v>
      </c>
      <c r="I81" s="221">
        <f>G81+H81</f>
        <v>819.11728999999991</v>
      </c>
      <c r="J81" s="108" t="s">
        <v>22</v>
      </c>
      <c r="K81" s="167"/>
    </row>
    <row r="82" spans="1:15" ht="15.75" customHeight="1" thickBot="1" x14ac:dyDescent="0.25">
      <c r="A82" s="146"/>
      <c r="B82" s="225" t="s">
        <v>114</v>
      </c>
      <c r="C82" s="222"/>
      <c r="D82" s="223"/>
      <c r="E82" s="222"/>
      <c r="F82" s="222"/>
      <c r="G82" s="224">
        <f>SUM(G80:G81)</f>
        <v>1817.27</v>
      </c>
      <c r="H82" s="224">
        <f t="shared" ref="H82:I82" si="19">SUM(H80:H81)</f>
        <v>594.24729000000002</v>
      </c>
      <c r="I82" s="224">
        <f t="shared" si="19"/>
        <v>2411.5172899999998</v>
      </c>
      <c r="J82" s="108" t="s">
        <v>22</v>
      </c>
      <c r="K82" s="167"/>
    </row>
    <row r="83" spans="1:15" ht="16.5" customHeight="1" x14ac:dyDescent="0.2">
      <c r="A83" s="185" t="s">
        <v>113</v>
      </c>
      <c r="B83" s="111"/>
      <c r="C83" s="95"/>
      <c r="D83" s="96"/>
      <c r="E83" s="95"/>
      <c r="F83" s="95"/>
      <c r="G83" s="112"/>
      <c r="H83" s="112"/>
      <c r="I83" s="112"/>
      <c r="J83" s="116"/>
      <c r="K83" s="167"/>
    </row>
    <row r="84" spans="1:15" s="13" customFormat="1" ht="20.25" customHeight="1" x14ac:dyDescent="0.2">
      <c r="A84" s="113"/>
      <c r="B84" s="28" t="s">
        <v>0</v>
      </c>
      <c r="C84" s="14" t="s">
        <v>1</v>
      </c>
      <c r="D84" s="14"/>
      <c r="E84" s="14"/>
      <c r="F84" s="14"/>
      <c r="G84" s="30" t="s">
        <v>4</v>
      </c>
      <c r="H84" s="30" t="s">
        <v>5</v>
      </c>
      <c r="I84" s="30" t="s">
        <v>6</v>
      </c>
      <c r="J84" s="117"/>
      <c r="K84" s="170"/>
      <c r="N84" s="73"/>
      <c r="O84" s="73"/>
    </row>
    <row r="85" spans="1:15" ht="17.25" customHeight="1" x14ac:dyDescent="0.2">
      <c r="A85" s="98" t="s">
        <v>14</v>
      </c>
      <c r="B85" s="19" t="s">
        <v>20</v>
      </c>
      <c r="C85" s="4" t="s">
        <v>24</v>
      </c>
      <c r="D85" s="7"/>
      <c r="E85" s="25"/>
      <c r="F85" s="5"/>
      <c r="G85" s="29">
        <v>2913.92</v>
      </c>
      <c r="H85" s="29">
        <f>G85*32.7/100</f>
        <v>952.85184000000004</v>
      </c>
      <c r="I85" s="29">
        <f>G85+H85+0.02</f>
        <v>3866.7918400000003</v>
      </c>
      <c r="J85" s="118" t="s">
        <v>22</v>
      </c>
      <c r="K85" s="168"/>
      <c r="M85" s="24"/>
    </row>
    <row r="86" spans="1:15" ht="17.25" customHeight="1" x14ac:dyDescent="0.2">
      <c r="A86" s="98" t="s">
        <v>14</v>
      </c>
      <c r="B86" s="19" t="s">
        <v>21</v>
      </c>
      <c r="C86" s="4">
        <v>1</v>
      </c>
      <c r="D86" s="7"/>
      <c r="E86" s="4"/>
      <c r="F86" s="5"/>
      <c r="G86" s="29">
        <v>384.6</v>
      </c>
      <c r="H86" s="29">
        <f>G86*32.7/100</f>
        <v>125.76420000000002</v>
      </c>
      <c r="I86" s="29">
        <f>G86+H86</f>
        <v>510.36420000000004</v>
      </c>
      <c r="J86" s="118" t="s">
        <v>22</v>
      </c>
      <c r="K86" s="168"/>
    </row>
    <row r="87" spans="1:15" ht="17.25" customHeight="1" x14ac:dyDescent="0.2">
      <c r="A87" s="98" t="s">
        <v>14</v>
      </c>
      <c r="B87" s="19" t="s">
        <v>152</v>
      </c>
      <c r="C87" s="4" t="s">
        <v>24</v>
      </c>
      <c r="D87" s="7"/>
      <c r="E87" s="4"/>
      <c r="F87" s="5"/>
      <c r="G87" s="29">
        <v>788.31</v>
      </c>
      <c r="H87" s="29">
        <f>G87*32.7/100</f>
        <v>257.77737000000002</v>
      </c>
      <c r="I87" s="29">
        <f>G87+H87</f>
        <v>1046.08737</v>
      </c>
      <c r="J87" s="118" t="s">
        <v>22</v>
      </c>
      <c r="K87" s="168"/>
    </row>
    <row r="88" spans="1:15" ht="12" customHeight="1" x14ac:dyDescent="0.2">
      <c r="A88" s="9" t="s">
        <v>14</v>
      </c>
      <c r="B88" s="28" t="s">
        <v>168</v>
      </c>
      <c r="C88" s="4"/>
      <c r="D88" s="197"/>
      <c r="E88" s="198"/>
      <c r="F88" s="199"/>
      <c r="G88" s="200"/>
      <c r="H88" s="200"/>
      <c r="I88" s="200"/>
      <c r="J88" s="118"/>
      <c r="K88" s="168"/>
    </row>
    <row r="89" spans="1:15" s="27" customFormat="1" ht="12" customHeight="1" thickBot="1" x14ac:dyDescent="0.25">
      <c r="A89" s="114"/>
      <c r="B89" s="109"/>
      <c r="C89" s="115"/>
      <c r="D89" s="202" t="s">
        <v>23</v>
      </c>
      <c r="E89" s="203"/>
      <c r="F89" s="204"/>
      <c r="G89" s="205">
        <f>SUM(G85:G88)</f>
        <v>4086.83</v>
      </c>
      <c r="H89" s="205">
        <f>SUM(H85:H86)+H87</f>
        <v>1336.3934100000001</v>
      </c>
      <c r="I89" s="205">
        <f>SUM(I85:I88)</f>
        <v>5423.2434100000009</v>
      </c>
      <c r="J89" s="196"/>
      <c r="K89" s="169"/>
      <c r="N89" s="34"/>
      <c r="O89" s="34"/>
    </row>
    <row r="90" spans="1:15" s="27" customFormat="1" ht="15.75" customHeight="1" thickBot="1" x14ac:dyDescent="0.3">
      <c r="A90" s="186"/>
      <c r="B90" s="318" t="s">
        <v>78</v>
      </c>
      <c r="C90" s="318"/>
      <c r="D90" s="318"/>
      <c r="E90" s="318"/>
      <c r="F90" s="318"/>
      <c r="G90" s="263">
        <f>G74+G82+G89+G77</f>
        <v>59320.429999999993</v>
      </c>
      <c r="H90" s="263">
        <f>H74+H82+H89+H77</f>
        <v>19397.780610000002</v>
      </c>
      <c r="I90" s="263">
        <f>I74+I82+I89+I77</f>
        <v>78718.230609999999</v>
      </c>
      <c r="J90" s="196"/>
      <c r="N90" s="34"/>
      <c r="O90" s="34"/>
    </row>
    <row r="91" spans="1:15" ht="2.25" customHeight="1" x14ac:dyDescent="0.2">
      <c r="G91" s="34"/>
      <c r="H91" s="34"/>
      <c r="I91" s="34"/>
    </row>
    <row r="92" spans="1:15" x14ac:dyDescent="0.2">
      <c r="C92" s="8"/>
      <c r="E92" s="309" t="s">
        <v>141</v>
      </c>
      <c r="F92" s="309"/>
      <c r="G92" s="267">
        <f>57675.43-G90</f>
        <v>-1644.9999999999927</v>
      </c>
    </row>
    <row r="93" spans="1:15" x14ac:dyDescent="0.2">
      <c r="B93" s="278" t="s">
        <v>178</v>
      </c>
      <c r="C93" s="2"/>
      <c r="D93" s="2"/>
      <c r="E93" s="2"/>
      <c r="F93" s="2"/>
      <c r="G93" s="267">
        <f>G42+G68</f>
        <v>5480.9000000000005</v>
      </c>
    </row>
  </sheetData>
  <mergeCells count="6">
    <mergeCell ref="E92:F92"/>
    <mergeCell ref="K5:K11"/>
    <mergeCell ref="B1:B2"/>
    <mergeCell ref="C3:E3"/>
    <mergeCell ref="E46:I46"/>
    <mergeCell ref="B90:F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64" workbookViewId="0">
      <selection activeCell="F99" sqref="F99"/>
    </sheetView>
  </sheetViews>
  <sheetFormatPr defaultRowHeight="12.75" x14ac:dyDescent="0.2"/>
  <cols>
    <col min="1" max="1" width="7.28515625" style="2" customWidth="1"/>
    <col min="2" max="2" width="49.42578125" style="18" customWidth="1"/>
    <col min="3" max="3" width="11" style="3" customWidth="1"/>
    <col min="4" max="4" width="9.140625" style="8" customWidth="1"/>
    <col min="5" max="5" width="9.28515625" style="3" customWidth="1"/>
    <col min="6" max="6" width="11.7109375" style="3" customWidth="1"/>
    <col min="7" max="7" width="13.42578125" style="32" customWidth="1"/>
    <col min="8" max="8" width="10.85546875" style="32" customWidth="1"/>
    <col min="9" max="9" width="12" style="32" customWidth="1"/>
    <col min="10" max="10" width="7.85546875" style="2" customWidth="1"/>
    <col min="11" max="11" width="5.42578125" style="2" customWidth="1"/>
    <col min="12" max="12" width="6.85546875" style="2" customWidth="1"/>
    <col min="13" max="13" width="22.5703125" style="2" customWidth="1"/>
    <col min="14" max="14" width="13.5703125" style="32" customWidth="1"/>
    <col min="15" max="15" width="12.140625" style="32" customWidth="1"/>
    <col min="16" max="16" width="10" style="2" bestFit="1" customWidth="1"/>
    <col min="17" max="17" width="10.42578125" style="2" customWidth="1"/>
    <col min="18" max="16384" width="9.140625" style="2"/>
  </cols>
  <sheetData>
    <row r="1" spans="1:17" ht="12.75" customHeight="1" x14ac:dyDescent="0.2">
      <c r="A1" s="90"/>
      <c r="B1" s="319" t="s">
        <v>180</v>
      </c>
      <c r="C1" s="86" t="s">
        <v>74</v>
      </c>
      <c r="D1" s="87"/>
      <c r="E1" s="66"/>
      <c r="F1" s="80">
        <f>39739.85+9049.3</f>
        <v>48789.149999999994</v>
      </c>
      <c r="G1" s="148" t="s">
        <v>76</v>
      </c>
      <c r="H1" s="149">
        <v>0.75</v>
      </c>
      <c r="I1" s="150">
        <f>F3*H1</f>
        <v>34187.962499999994</v>
      </c>
      <c r="J1" s="9"/>
      <c r="K1" s="167"/>
    </row>
    <row r="2" spans="1:17" s="1" customFormat="1" ht="12" customHeight="1" x14ac:dyDescent="0.2">
      <c r="A2" s="91"/>
      <c r="B2" s="320"/>
      <c r="C2" s="86" t="s">
        <v>80</v>
      </c>
      <c r="D2" s="88"/>
      <c r="E2" s="89"/>
      <c r="F2" s="249">
        <f>2880+325.2</f>
        <v>3205.2</v>
      </c>
      <c r="G2" s="148" t="s">
        <v>77</v>
      </c>
      <c r="H2" s="149">
        <v>0.25</v>
      </c>
      <c r="I2" s="151">
        <f>F3*H2</f>
        <v>11395.987499999999</v>
      </c>
      <c r="J2" s="7"/>
      <c r="K2" s="248"/>
      <c r="N2" s="72"/>
      <c r="O2" s="72"/>
    </row>
    <row r="3" spans="1:17" s="1" customFormat="1" ht="11.25" customHeight="1" x14ac:dyDescent="0.25">
      <c r="A3" s="92"/>
      <c r="B3" s="264" t="s">
        <v>134</v>
      </c>
      <c r="C3" s="312" t="s">
        <v>75</v>
      </c>
      <c r="D3" s="313"/>
      <c r="E3" s="314"/>
      <c r="F3" s="152">
        <f>F1-F2</f>
        <v>45583.95</v>
      </c>
      <c r="G3" s="83"/>
      <c r="H3" s="84" t="s">
        <v>68</v>
      </c>
      <c r="I3" s="153">
        <f>SUM(I1:I2)</f>
        <v>45583.95</v>
      </c>
      <c r="J3" s="85"/>
      <c r="K3" s="168"/>
      <c r="N3" s="72"/>
      <c r="O3" s="72"/>
    </row>
    <row r="4" spans="1:17" s="140" customFormat="1" ht="18.75" customHeight="1" x14ac:dyDescent="0.2">
      <c r="A4" s="136"/>
      <c r="B4" s="143"/>
      <c r="C4" s="187" t="s">
        <v>33</v>
      </c>
      <c r="D4" s="137" t="s">
        <v>35</v>
      </c>
      <c r="E4" s="137" t="s">
        <v>2</v>
      </c>
      <c r="F4" s="137" t="s">
        <v>3</v>
      </c>
      <c r="G4" s="138" t="s">
        <v>4</v>
      </c>
      <c r="H4" s="138" t="s">
        <v>5</v>
      </c>
      <c r="I4" s="138" t="s">
        <v>6</v>
      </c>
      <c r="J4" s="139"/>
      <c r="K4" s="244"/>
      <c r="M4" s="141"/>
      <c r="N4" s="142" t="s">
        <v>66</v>
      </c>
      <c r="O4" s="142" t="s">
        <v>67</v>
      </c>
    </row>
    <row r="5" spans="1:17" x14ac:dyDescent="0.2">
      <c r="A5" s="9" t="s">
        <v>14</v>
      </c>
      <c r="B5" s="265" t="s">
        <v>87</v>
      </c>
      <c r="C5" s="268">
        <v>1</v>
      </c>
      <c r="D5" s="7" t="s">
        <v>12</v>
      </c>
      <c r="E5" s="276">
        <f>40+20</f>
        <v>60</v>
      </c>
      <c r="F5" s="5">
        <v>19.25</v>
      </c>
      <c r="G5" s="78">
        <f>E5*F5</f>
        <v>1155</v>
      </c>
      <c r="H5" s="78">
        <f>G5*32.7/100</f>
        <v>377.685</v>
      </c>
      <c r="I5" s="78">
        <f>G5+H5</f>
        <v>1532.6849999999999</v>
      </c>
      <c r="J5" s="9" t="s">
        <v>22</v>
      </c>
      <c r="K5" s="308"/>
      <c r="M5" s="79" t="s">
        <v>71</v>
      </c>
      <c r="N5" s="80">
        <f>G5</f>
        <v>1155</v>
      </c>
      <c r="O5" s="80">
        <f>I5</f>
        <v>1532.6849999999999</v>
      </c>
      <c r="Q5" s="161"/>
    </row>
    <row r="6" spans="1:17" x14ac:dyDescent="0.2">
      <c r="A6" s="9" t="s">
        <v>14</v>
      </c>
      <c r="B6" s="19" t="s">
        <v>88</v>
      </c>
      <c r="C6" s="268">
        <v>1</v>
      </c>
      <c r="D6" s="7" t="s">
        <v>12</v>
      </c>
      <c r="E6" s="172">
        <v>40</v>
      </c>
      <c r="F6" s="5">
        <v>19.25</v>
      </c>
      <c r="G6" s="81">
        <f t="shared" ref="G6:G41" si="0">E6*F6</f>
        <v>770</v>
      </c>
      <c r="H6" s="78">
        <f>G6*32.7/100</f>
        <v>251.79000000000005</v>
      </c>
      <c r="I6" s="81">
        <f>G6+H6</f>
        <v>1021.7900000000001</v>
      </c>
      <c r="J6" s="9" t="s">
        <v>22</v>
      </c>
      <c r="K6" s="308"/>
      <c r="M6" s="235" t="s">
        <v>117</v>
      </c>
      <c r="N6" s="80">
        <f>G40+G41</f>
        <v>3388</v>
      </c>
      <c r="O6" s="80">
        <f>I40+I41</f>
        <v>4495.8760000000002</v>
      </c>
      <c r="Q6" s="161"/>
    </row>
    <row r="7" spans="1:17" x14ac:dyDescent="0.2">
      <c r="A7" s="9" t="s">
        <v>14</v>
      </c>
      <c r="B7" s="19" t="s">
        <v>89</v>
      </c>
      <c r="C7" s="268">
        <v>1</v>
      </c>
      <c r="D7" s="7" t="s">
        <v>12</v>
      </c>
      <c r="E7" s="172">
        <v>40</v>
      </c>
      <c r="F7" s="5">
        <v>19.25</v>
      </c>
      <c r="G7" s="81">
        <f t="shared" si="0"/>
        <v>770</v>
      </c>
      <c r="H7" s="78">
        <f>G7*32.7/100</f>
        <v>251.79000000000005</v>
      </c>
      <c r="I7" s="81">
        <f>G7+H7</f>
        <v>1021.7900000000001</v>
      </c>
      <c r="J7" s="9" t="s">
        <v>22</v>
      </c>
      <c r="K7" s="308"/>
      <c r="M7" s="74" t="s">
        <v>72</v>
      </c>
      <c r="N7" s="80">
        <f>SUM(G6:G39)+G42</f>
        <v>30446.39</v>
      </c>
      <c r="O7" s="80">
        <f>SUM(I6:I39)+I42</f>
        <v>40402.359529999994</v>
      </c>
      <c r="Q7" s="161"/>
    </row>
    <row r="8" spans="1:17" x14ac:dyDescent="0.2">
      <c r="A8" s="9" t="s">
        <v>14</v>
      </c>
      <c r="B8" s="19" t="s">
        <v>90</v>
      </c>
      <c r="C8" s="268">
        <v>1</v>
      </c>
      <c r="D8" s="7" t="s">
        <v>12</v>
      </c>
      <c r="E8" s="172">
        <v>30</v>
      </c>
      <c r="F8" s="5">
        <v>19.25</v>
      </c>
      <c r="G8" s="81">
        <f t="shared" si="0"/>
        <v>577.5</v>
      </c>
      <c r="H8" s="29">
        <f t="shared" ref="H8:H11" si="1">G8*32.7/100</f>
        <v>188.8425</v>
      </c>
      <c r="I8" s="81">
        <f t="shared" ref="I8:I11" si="2">G8+H8</f>
        <v>766.34249999999997</v>
      </c>
      <c r="J8" s="9" t="s">
        <v>22</v>
      </c>
      <c r="K8" s="308"/>
      <c r="M8" s="235" t="s">
        <v>73</v>
      </c>
      <c r="N8" s="82"/>
      <c r="O8" s="236">
        <f>N8*132.7/100</f>
        <v>0</v>
      </c>
    </row>
    <row r="9" spans="1:17" x14ac:dyDescent="0.2">
      <c r="A9" s="9" t="s">
        <v>14</v>
      </c>
      <c r="B9" s="19" t="s">
        <v>91</v>
      </c>
      <c r="C9" s="268">
        <v>1</v>
      </c>
      <c r="D9" s="7" t="s">
        <v>12</v>
      </c>
      <c r="E9" s="172">
        <v>20</v>
      </c>
      <c r="F9" s="5">
        <v>19.25</v>
      </c>
      <c r="G9" s="81">
        <f t="shared" si="0"/>
        <v>385</v>
      </c>
      <c r="H9" s="29">
        <f t="shared" si="1"/>
        <v>125.89500000000002</v>
      </c>
      <c r="I9" s="81">
        <f t="shared" si="2"/>
        <v>510.89500000000004</v>
      </c>
      <c r="J9" s="9" t="s">
        <v>22</v>
      </c>
      <c r="K9" s="308"/>
      <c r="M9" s="239" t="s">
        <v>68</v>
      </c>
      <c r="N9" s="240">
        <f>SUM(N5:N8)</f>
        <v>34989.39</v>
      </c>
      <c r="O9" s="240">
        <f>SUM(O5:O8)</f>
        <v>46430.920529999996</v>
      </c>
      <c r="Q9" s="161"/>
    </row>
    <row r="10" spans="1:17" x14ac:dyDescent="0.2">
      <c r="A10" s="9" t="s">
        <v>14</v>
      </c>
      <c r="B10" s="19" t="s">
        <v>92</v>
      </c>
      <c r="C10" s="268">
        <v>1</v>
      </c>
      <c r="D10" s="7" t="s">
        <v>12</v>
      </c>
      <c r="E10" s="172">
        <v>30</v>
      </c>
      <c r="F10" s="5">
        <v>19.25</v>
      </c>
      <c r="G10" s="81">
        <f t="shared" si="0"/>
        <v>577.5</v>
      </c>
      <c r="H10" s="29">
        <f t="shared" si="1"/>
        <v>188.8425</v>
      </c>
      <c r="I10" s="81">
        <f t="shared" si="2"/>
        <v>766.34249999999997</v>
      </c>
      <c r="J10" s="9" t="s">
        <v>22</v>
      </c>
      <c r="K10" s="308"/>
      <c r="M10" s="237" t="s">
        <v>15</v>
      </c>
      <c r="N10" s="208">
        <f>G77+G43</f>
        <v>3600</v>
      </c>
      <c r="O10" s="208">
        <f>I77+I43</f>
        <v>4777.2</v>
      </c>
      <c r="P10" s="161"/>
      <c r="Q10" s="161"/>
    </row>
    <row r="11" spans="1:17" x14ac:dyDescent="0.2">
      <c r="A11" s="9" t="s">
        <v>14</v>
      </c>
      <c r="B11" s="19" t="s">
        <v>93</v>
      </c>
      <c r="C11" s="268">
        <v>1</v>
      </c>
      <c r="D11" s="7" t="s">
        <v>12</v>
      </c>
      <c r="E11" s="172">
        <v>25</v>
      </c>
      <c r="F11" s="5">
        <v>19.25</v>
      </c>
      <c r="G11" s="81">
        <f t="shared" si="0"/>
        <v>481.25</v>
      </c>
      <c r="H11" s="29">
        <f t="shared" si="1"/>
        <v>157.36875000000001</v>
      </c>
      <c r="I11" s="81">
        <f t="shared" si="2"/>
        <v>638.61874999999998</v>
      </c>
      <c r="J11" s="9" t="s">
        <v>22</v>
      </c>
      <c r="K11" s="308"/>
      <c r="M11" s="9" t="s">
        <v>83</v>
      </c>
      <c r="N11" s="33">
        <f>G87</f>
        <v>788.31</v>
      </c>
      <c r="O11" s="33">
        <f>I87</f>
        <v>1046.08737</v>
      </c>
      <c r="Q11" s="161"/>
    </row>
    <row r="12" spans="1:17" x14ac:dyDescent="0.2">
      <c r="A12" s="9" t="s">
        <v>14</v>
      </c>
      <c r="B12" s="19" t="s">
        <v>135</v>
      </c>
      <c r="C12" s="268">
        <v>6</v>
      </c>
      <c r="D12" s="7" t="s">
        <v>12</v>
      </c>
      <c r="E12" s="171">
        <f>C12*23</f>
        <v>138</v>
      </c>
      <c r="F12" s="5">
        <v>19.25</v>
      </c>
      <c r="G12" s="81">
        <f t="shared" si="0"/>
        <v>2656.5</v>
      </c>
      <c r="H12" s="29">
        <f>G12*32.7/100</f>
        <v>868.67550000000006</v>
      </c>
      <c r="I12" s="81">
        <f>G12+H12</f>
        <v>3525.1755000000003</v>
      </c>
      <c r="J12" s="9" t="s">
        <v>22</v>
      </c>
      <c r="K12" s="245"/>
      <c r="M12" s="9" t="s">
        <v>69</v>
      </c>
      <c r="N12" s="33">
        <f>G86</f>
        <v>384.6</v>
      </c>
      <c r="O12" s="33">
        <f>I86</f>
        <v>510.36420000000004</v>
      </c>
      <c r="Q12" s="161"/>
    </row>
    <row r="13" spans="1:17" x14ac:dyDescent="0.2">
      <c r="A13" s="9" t="s">
        <v>14</v>
      </c>
      <c r="B13" s="19" t="s">
        <v>136</v>
      </c>
      <c r="C13" s="268">
        <v>6</v>
      </c>
      <c r="D13" s="7" t="s">
        <v>12</v>
      </c>
      <c r="E13" s="171">
        <f>C13*2</f>
        <v>12</v>
      </c>
      <c r="F13" s="5">
        <v>19.25</v>
      </c>
      <c r="G13" s="81">
        <f t="shared" si="0"/>
        <v>231</v>
      </c>
      <c r="H13" s="29">
        <f>G13*32.7/100</f>
        <v>75.537000000000006</v>
      </c>
      <c r="I13" s="81">
        <f>G13+H13</f>
        <v>306.53700000000003</v>
      </c>
      <c r="J13" s="9" t="s">
        <v>22</v>
      </c>
      <c r="K13" s="245"/>
      <c r="M13" s="9"/>
      <c r="N13" s="147"/>
      <c r="O13" s="33"/>
      <c r="Q13" s="161"/>
    </row>
    <row r="14" spans="1:17" x14ac:dyDescent="0.2">
      <c r="A14" s="9" t="s">
        <v>14</v>
      </c>
      <c r="B14" s="19" t="s">
        <v>125</v>
      </c>
      <c r="C14" s="268">
        <v>3</v>
      </c>
      <c r="D14" s="7" t="s">
        <v>12</v>
      </c>
      <c r="E14" s="171">
        <f>C14*4</f>
        <v>12</v>
      </c>
      <c r="F14" s="5">
        <v>19.25</v>
      </c>
      <c r="G14" s="81">
        <f t="shared" si="0"/>
        <v>231</v>
      </c>
      <c r="H14" s="29">
        <f t="shared" ref="H14:H15" si="3">G14*32.7/100</f>
        <v>75.537000000000006</v>
      </c>
      <c r="I14" s="81">
        <f t="shared" ref="I14:I15" si="4">G14+H14</f>
        <v>306.53700000000003</v>
      </c>
      <c r="J14" s="9" t="s">
        <v>22</v>
      </c>
      <c r="K14" s="245"/>
      <c r="M14" s="155" t="s">
        <v>68</v>
      </c>
      <c r="N14" s="156">
        <f>SUM(N10:N13)</f>
        <v>4772.91</v>
      </c>
      <c r="O14" s="156">
        <f>SUM(O10:O13)</f>
        <v>6333.65157</v>
      </c>
      <c r="Q14" s="161"/>
    </row>
    <row r="15" spans="1:17" x14ac:dyDescent="0.2">
      <c r="A15" s="9" t="s">
        <v>14</v>
      </c>
      <c r="B15" s="19" t="s">
        <v>126</v>
      </c>
      <c r="C15" s="268">
        <v>2</v>
      </c>
      <c r="D15" s="7" t="s">
        <v>12</v>
      </c>
      <c r="E15" s="171">
        <f>C15*4</f>
        <v>8</v>
      </c>
      <c r="F15" s="5">
        <v>19.25</v>
      </c>
      <c r="G15" s="81">
        <f t="shared" si="0"/>
        <v>154</v>
      </c>
      <c r="H15" s="29">
        <f t="shared" si="3"/>
        <v>50.358000000000004</v>
      </c>
      <c r="I15" s="81">
        <f t="shared" si="4"/>
        <v>204.358</v>
      </c>
      <c r="J15" s="9" t="s">
        <v>22</v>
      </c>
      <c r="K15" s="245"/>
      <c r="P15" s="24"/>
      <c r="Q15" s="161"/>
    </row>
    <row r="16" spans="1:17" ht="12.75" customHeight="1" x14ac:dyDescent="0.2">
      <c r="A16" s="9" t="s">
        <v>14</v>
      </c>
      <c r="B16" s="70" t="s">
        <v>63</v>
      </c>
      <c r="C16" s="268">
        <v>3</v>
      </c>
      <c r="D16" s="7" t="s">
        <v>12</v>
      </c>
      <c r="E16" s="171">
        <f>C16*2</f>
        <v>6</v>
      </c>
      <c r="F16" s="5">
        <v>19.25</v>
      </c>
      <c r="G16" s="81">
        <f t="shared" si="0"/>
        <v>115.5</v>
      </c>
      <c r="H16" s="29">
        <f>G16*32.7/100</f>
        <v>37.768500000000003</v>
      </c>
      <c r="I16" s="81">
        <f>G16+H16</f>
        <v>153.26850000000002</v>
      </c>
      <c r="J16" s="9" t="s">
        <v>22</v>
      </c>
      <c r="K16" s="245"/>
      <c r="M16" s="241" t="s">
        <v>68</v>
      </c>
      <c r="N16" s="242">
        <f>N9+N14</f>
        <v>39762.300000000003</v>
      </c>
      <c r="O16" s="243">
        <f>O9+O14</f>
        <v>52764.572099999998</v>
      </c>
      <c r="Q16" s="161"/>
    </row>
    <row r="17" spans="1:16" x14ac:dyDescent="0.2">
      <c r="A17" s="9" t="s">
        <v>14</v>
      </c>
      <c r="B17" s="71" t="s">
        <v>64</v>
      </c>
      <c r="C17" s="268">
        <v>2</v>
      </c>
      <c r="D17" s="7" t="s">
        <v>12</v>
      </c>
      <c r="E17" s="171">
        <f>C17*2</f>
        <v>4</v>
      </c>
      <c r="F17" s="5">
        <v>19.25</v>
      </c>
      <c r="G17" s="81">
        <f t="shared" si="0"/>
        <v>77</v>
      </c>
      <c r="H17" s="29">
        <f t="shared" ref="H17:H43" si="5">G17*32.7/100</f>
        <v>25.179000000000002</v>
      </c>
      <c r="I17" s="81">
        <f t="shared" ref="I17:I43" si="6">G17+H17</f>
        <v>102.179</v>
      </c>
      <c r="J17" s="9" t="s">
        <v>22</v>
      </c>
      <c r="K17" s="245"/>
    </row>
    <row r="18" spans="1:16" x14ac:dyDescent="0.2">
      <c r="A18" s="9" t="s">
        <v>14</v>
      </c>
      <c r="B18" s="71" t="s">
        <v>127</v>
      </c>
      <c r="C18" s="268">
        <v>14</v>
      </c>
      <c r="D18" s="7" t="s">
        <v>12</v>
      </c>
      <c r="E18" s="171">
        <f>C18*15</f>
        <v>210</v>
      </c>
      <c r="F18" s="5">
        <v>19.25</v>
      </c>
      <c r="G18" s="81">
        <f t="shared" si="0"/>
        <v>4042.5</v>
      </c>
      <c r="H18" s="29">
        <f t="shared" si="5"/>
        <v>1321.8975</v>
      </c>
      <c r="I18" s="81">
        <f t="shared" si="6"/>
        <v>5364.3975</v>
      </c>
      <c r="J18" s="9" t="s">
        <v>22</v>
      </c>
      <c r="K18" s="245"/>
      <c r="M18" s="74" t="s">
        <v>70</v>
      </c>
      <c r="N18" s="75">
        <f>G85</f>
        <v>2913.92</v>
      </c>
      <c r="O18" s="75">
        <f>I85</f>
        <v>3866.7918400000003</v>
      </c>
    </row>
    <row r="19" spans="1:16" x14ac:dyDescent="0.2">
      <c r="A19" s="9" t="s">
        <v>14</v>
      </c>
      <c r="B19" s="71" t="s">
        <v>104</v>
      </c>
      <c r="C19" s="268">
        <v>6</v>
      </c>
      <c r="D19" s="7" t="s">
        <v>12</v>
      </c>
      <c r="E19" s="171">
        <f>C19*4</f>
        <v>24</v>
      </c>
      <c r="F19" s="5">
        <v>19.25</v>
      </c>
      <c r="G19" s="81">
        <f t="shared" si="0"/>
        <v>462</v>
      </c>
      <c r="H19" s="29">
        <f t="shared" si="5"/>
        <v>151.07400000000001</v>
      </c>
      <c r="I19" s="81">
        <f t="shared" si="6"/>
        <v>613.07400000000007</v>
      </c>
      <c r="J19" s="9" t="s">
        <v>22</v>
      </c>
      <c r="K19" s="245"/>
      <c r="N19" s="2"/>
      <c r="O19" s="2"/>
    </row>
    <row r="20" spans="1:16" x14ac:dyDescent="0.2">
      <c r="A20" s="9" t="s">
        <v>14</v>
      </c>
      <c r="B20" s="71" t="s">
        <v>128</v>
      </c>
      <c r="C20" s="268">
        <v>1</v>
      </c>
      <c r="D20" s="7" t="s">
        <v>12</v>
      </c>
      <c r="E20" s="171">
        <f>C20*10</f>
        <v>10</v>
      </c>
      <c r="F20" s="5">
        <v>19.25</v>
      </c>
      <c r="G20" s="81">
        <f t="shared" si="0"/>
        <v>192.5</v>
      </c>
      <c r="H20" s="29">
        <f t="shared" si="5"/>
        <v>62.947500000000012</v>
      </c>
      <c r="I20" s="81">
        <f t="shared" si="6"/>
        <v>255.44750000000002</v>
      </c>
      <c r="J20" s="9" t="s">
        <v>22</v>
      </c>
      <c r="K20" s="245"/>
      <c r="N20" s="2"/>
      <c r="O20" s="2"/>
    </row>
    <row r="21" spans="1:16" ht="14.25" customHeight="1" x14ac:dyDescent="0.2">
      <c r="A21" s="9" t="s">
        <v>14</v>
      </c>
      <c r="B21" s="71" t="s">
        <v>115</v>
      </c>
      <c r="C21" s="268">
        <v>6</v>
      </c>
      <c r="D21" s="7" t="s">
        <v>12</v>
      </c>
      <c r="E21" s="171">
        <f>(C21*10)-15</f>
        <v>45</v>
      </c>
      <c r="F21" s="5">
        <v>19.25</v>
      </c>
      <c r="G21" s="81">
        <f t="shared" si="0"/>
        <v>866.25</v>
      </c>
      <c r="H21" s="29">
        <f t="shared" si="5"/>
        <v>283.26375000000002</v>
      </c>
      <c r="I21" s="81">
        <f t="shared" si="6"/>
        <v>1149.5137500000001</v>
      </c>
      <c r="J21" s="9" t="s">
        <v>22</v>
      </c>
      <c r="K21" s="245"/>
      <c r="M21" s="76" t="s">
        <v>52</v>
      </c>
      <c r="N21" s="157">
        <f>N16+N18</f>
        <v>42676.22</v>
      </c>
      <c r="O21" s="158">
        <f>O16+O18</f>
        <v>56631.363939999996</v>
      </c>
    </row>
    <row r="22" spans="1:16" x14ac:dyDescent="0.2">
      <c r="A22" s="9" t="s">
        <v>14</v>
      </c>
      <c r="B22" s="71" t="s">
        <v>132</v>
      </c>
      <c r="C22" s="270">
        <v>1</v>
      </c>
      <c r="D22" s="7" t="s">
        <v>12</v>
      </c>
      <c r="E22" s="173">
        <v>25</v>
      </c>
      <c r="F22" s="5">
        <v>19.25</v>
      </c>
      <c r="G22" s="81">
        <f t="shared" si="0"/>
        <v>481.25</v>
      </c>
      <c r="H22" s="29">
        <f t="shared" si="5"/>
        <v>157.36875000000001</v>
      </c>
      <c r="I22" s="81">
        <f t="shared" si="6"/>
        <v>638.61874999999998</v>
      </c>
      <c r="J22" s="9" t="s">
        <v>22</v>
      </c>
      <c r="K22" s="245"/>
    </row>
    <row r="23" spans="1:16" x14ac:dyDescent="0.2">
      <c r="A23" s="9" t="s">
        <v>14</v>
      </c>
      <c r="B23" s="71" t="s">
        <v>118</v>
      </c>
      <c r="C23" s="270">
        <v>5</v>
      </c>
      <c r="D23" s="7" t="s">
        <v>12</v>
      </c>
      <c r="E23" s="173">
        <f>C23*6</f>
        <v>30</v>
      </c>
      <c r="F23" s="5">
        <v>19.25</v>
      </c>
      <c r="G23" s="81">
        <f t="shared" si="0"/>
        <v>577.5</v>
      </c>
      <c r="H23" s="29">
        <f t="shared" si="5"/>
        <v>188.8425</v>
      </c>
      <c r="I23" s="81">
        <f t="shared" si="6"/>
        <v>766.34249999999997</v>
      </c>
      <c r="J23" s="9" t="s">
        <v>22</v>
      </c>
      <c r="K23" s="245"/>
    </row>
    <row r="24" spans="1:16" ht="11.25" customHeight="1" x14ac:dyDescent="0.2">
      <c r="A24" s="9" t="s">
        <v>14</v>
      </c>
      <c r="B24" s="77" t="s">
        <v>176</v>
      </c>
      <c r="C24" s="270">
        <v>6</v>
      </c>
      <c r="D24" s="7" t="s">
        <v>13</v>
      </c>
      <c r="E24" s="174">
        <v>50</v>
      </c>
      <c r="F24" s="5">
        <v>19.25</v>
      </c>
      <c r="G24" s="81">
        <f t="shared" si="0"/>
        <v>962.5</v>
      </c>
      <c r="H24" s="29">
        <f t="shared" si="5"/>
        <v>314.73750000000001</v>
      </c>
      <c r="I24" s="81">
        <f t="shared" si="6"/>
        <v>1277.2375</v>
      </c>
      <c r="J24" s="9" t="s">
        <v>22</v>
      </c>
      <c r="K24" s="245"/>
      <c r="M24" s="9" t="s">
        <v>84</v>
      </c>
      <c r="N24" s="159">
        <f>G71</f>
        <v>2880</v>
      </c>
      <c r="O24" s="33">
        <f>I71</f>
        <v>3821.76</v>
      </c>
    </row>
    <row r="25" spans="1:16" ht="12" customHeight="1" x14ac:dyDescent="0.2">
      <c r="A25" s="9" t="s">
        <v>14</v>
      </c>
      <c r="B25" s="275" t="s">
        <v>175</v>
      </c>
      <c r="C25" s="270">
        <v>10</v>
      </c>
      <c r="D25" s="7" t="s">
        <v>13</v>
      </c>
      <c r="E25" s="174">
        <v>70</v>
      </c>
      <c r="F25" s="5">
        <v>19.25</v>
      </c>
      <c r="G25" s="81">
        <f t="shared" si="0"/>
        <v>1347.5</v>
      </c>
      <c r="H25" s="29">
        <f t="shared" si="5"/>
        <v>440.63250000000005</v>
      </c>
      <c r="I25" s="81">
        <f t="shared" si="6"/>
        <v>1788.1325000000002</v>
      </c>
      <c r="J25" s="9" t="s">
        <v>22</v>
      </c>
      <c r="K25" s="245"/>
      <c r="M25" s="9" t="s">
        <v>85</v>
      </c>
      <c r="N25" s="159">
        <f>G72</f>
        <v>325.2</v>
      </c>
      <c r="O25" s="159">
        <f>I72</f>
        <v>431.54039999999998</v>
      </c>
    </row>
    <row r="26" spans="1:16" x14ac:dyDescent="0.2">
      <c r="A26" s="9" t="s">
        <v>14</v>
      </c>
      <c r="B26" s="77" t="s">
        <v>174</v>
      </c>
      <c r="C26" s="270">
        <v>16</v>
      </c>
      <c r="D26" s="7" t="s">
        <v>13</v>
      </c>
      <c r="E26" s="174">
        <v>60</v>
      </c>
      <c r="F26" s="5">
        <v>19.25</v>
      </c>
      <c r="G26" s="81">
        <f t="shared" si="0"/>
        <v>1155</v>
      </c>
      <c r="H26" s="29">
        <f t="shared" si="5"/>
        <v>377.685</v>
      </c>
      <c r="I26" s="81">
        <f t="shared" si="6"/>
        <v>1532.6849999999999</v>
      </c>
      <c r="J26" s="9" t="s">
        <v>22</v>
      </c>
      <c r="K26" s="245"/>
      <c r="M26" s="9" t="s">
        <v>32</v>
      </c>
      <c r="N26" s="159">
        <f>G57+G67</f>
        <v>11493.73</v>
      </c>
      <c r="O26" s="159">
        <f>I57+I67</f>
        <v>15252.179710000002</v>
      </c>
    </row>
    <row r="27" spans="1:16" ht="21.75" customHeight="1" x14ac:dyDescent="0.2">
      <c r="A27" s="9" t="s">
        <v>14</v>
      </c>
      <c r="B27" s="77" t="s">
        <v>173</v>
      </c>
      <c r="C27" s="270">
        <v>7</v>
      </c>
      <c r="D27" s="7" t="s">
        <v>13</v>
      </c>
      <c r="E27" s="174">
        <v>60</v>
      </c>
      <c r="F27" s="5">
        <v>19.25</v>
      </c>
      <c r="G27" s="81">
        <f t="shared" si="0"/>
        <v>1155</v>
      </c>
      <c r="H27" s="29">
        <f t="shared" si="5"/>
        <v>377.685</v>
      </c>
      <c r="I27" s="81">
        <f t="shared" si="6"/>
        <v>1532.6849999999999</v>
      </c>
      <c r="J27" s="9" t="s">
        <v>22</v>
      </c>
      <c r="K27" s="245"/>
      <c r="M27" s="9" t="s">
        <v>65</v>
      </c>
      <c r="N27" s="33">
        <f>G82</f>
        <v>1817.27</v>
      </c>
      <c r="O27" s="33">
        <f>I82</f>
        <v>2411.5172899999998</v>
      </c>
      <c r="P27" s="3"/>
    </row>
    <row r="28" spans="1:16" x14ac:dyDescent="0.2">
      <c r="A28" s="9" t="s">
        <v>14</v>
      </c>
      <c r="B28" s="77" t="s">
        <v>171</v>
      </c>
      <c r="C28" s="270">
        <v>9</v>
      </c>
      <c r="D28" s="7" t="s">
        <v>13</v>
      </c>
      <c r="E28" s="174">
        <v>30</v>
      </c>
      <c r="F28" s="5">
        <v>19.25</v>
      </c>
      <c r="G28" s="81">
        <f t="shared" si="0"/>
        <v>577.5</v>
      </c>
      <c r="H28" s="29">
        <f t="shared" si="5"/>
        <v>188.8425</v>
      </c>
      <c r="I28" s="81">
        <f t="shared" si="6"/>
        <v>766.34249999999997</v>
      </c>
      <c r="J28" s="9" t="s">
        <v>22</v>
      </c>
      <c r="K28" s="245"/>
      <c r="M28" s="9" t="s">
        <v>10</v>
      </c>
      <c r="N28" s="160">
        <f>SUM(N24:N27)</f>
        <v>16516.2</v>
      </c>
      <c r="O28" s="160">
        <f>SUM(O24:O27)</f>
        <v>21916.997400000004</v>
      </c>
    </row>
    <row r="29" spans="1:16" x14ac:dyDescent="0.2">
      <c r="A29" s="9" t="s">
        <v>14</v>
      </c>
      <c r="B29" s="77" t="s">
        <v>172</v>
      </c>
      <c r="C29" s="270">
        <v>5</v>
      </c>
      <c r="D29" s="7" t="s">
        <v>13</v>
      </c>
      <c r="E29" s="174">
        <v>10</v>
      </c>
      <c r="F29" s="5">
        <v>19.25</v>
      </c>
      <c r="G29" s="81">
        <f t="shared" si="0"/>
        <v>192.5</v>
      </c>
      <c r="H29" s="29">
        <f t="shared" si="5"/>
        <v>62.947500000000012</v>
      </c>
      <c r="I29" s="81">
        <f t="shared" si="6"/>
        <v>255.44750000000002</v>
      </c>
      <c r="J29" s="9" t="s">
        <v>22</v>
      </c>
      <c r="K29" s="245"/>
      <c r="M29" s="165" t="s">
        <v>86</v>
      </c>
      <c r="N29" s="166">
        <f>N21+N28</f>
        <v>59192.42</v>
      </c>
      <c r="O29" s="166">
        <f>O21+O28</f>
        <v>78548.361340000003</v>
      </c>
    </row>
    <row r="30" spans="1:16" x14ac:dyDescent="0.2">
      <c r="A30" s="9" t="s">
        <v>14</v>
      </c>
      <c r="B30" s="77" t="s">
        <v>170</v>
      </c>
      <c r="C30" s="269">
        <v>1</v>
      </c>
      <c r="D30" s="7" t="s">
        <v>12</v>
      </c>
      <c r="E30" s="270">
        <v>12</v>
      </c>
      <c r="F30" s="5">
        <v>19.25</v>
      </c>
      <c r="G30" s="81">
        <f t="shared" si="0"/>
        <v>231</v>
      </c>
      <c r="H30" s="29">
        <f t="shared" si="5"/>
        <v>75.537000000000006</v>
      </c>
      <c r="I30" s="81">
        <f t="shared" si="6"/>
        <v>306.53700000000003</v>
      </c>
      <c r="J30" s="9" t="s">
        <v>22</v>
      </c>
      <c r="K30" s="245"/>
      <c r="M30" s="250"/>
      <c r="N30" s="251"/>
      <c r="O30" s="251"/>
    </row>
    <row r="31" spans="1:16" x14ac:dyDescent="0.2">
      <c r="A31" s="9"/>
      <c r="B31" s="277" t="s">
        <v>177</v>
      </c>
      <c r="C31" s="269">
        <v>4</v>
      </c>
      <c r="D31" s="7" t="s">
        <v>13</v>
      </c>
      <c r="E31" s="270">
        <v>4</v>
      </c>
      <c r="F31" s="5">
        <v>19.25</v>
      </c>
      <c r="G31" s="81">
        <f t="shared" si="0"/>
        <v>77</v>
      </c>
      <c r="H31" s="29">
        <f t="shared" si="5"/>
        <v>25.179000000000002</v>
      </c>
      <c r="I31" s="81">
        <f t="shared" si="6"/>
        <v>102.179</v>
      </c>
      <c r="J31" s="9" t="s">
        <v>22</v>
      </c>
      <c r="K31" s="245"/>
      <c r="M31" s="250"/>
      <c r="N31" s="251"/>
      <c r="O31" s="251"/>
    </row>
    <row r="32" spans="1:16" x14ac:dyDescent="0.2">
      <c r="A32" s="9"/>
      <c r="B32" s="77" t="s">
        <v>138</v>
      </c>
      <c r="C32" s="269">
        <v>1</v>
      </c>
      <c r="D32" s="7" t="s">
        <v>13</v>
      </c>
      <c r="E32" s="174">
        <v>10</v>
      </c>
      <c r="F32" s="5">
        <v>19.25</v>
      </c>
      <c r="G32" s="81">
        <f t="shared" si="0"/>
        <v>192.5</v>
      </c>
      <c r="H32" s="29">
        <f t="shared" si="5"/>
        <v>62.947500000000012</v>
      </c>
      <c r="I32" s="81">
        <f t="shared" si="6"/>
        <v>255.44750000000002</v>
      </c>
      <c r="J32" s="9" t="s">
        <v>22</v>
      </c>
      <c r="K32" s="245"/>
    </row>
    <row r="33" spans="1:15" x14ac:dyDescent="0.2">
      <c r="A33" s="9"/>
      <c r="B33" s="77" t="s">
        <v>119</v>
      </c>
      <c r="C33" s="269">
        <v>1</v>
      </c>
      <c r="D33" s="7" t="s">
        <v>13</v>
      </c>
      <c r="E33" s="174">
        <v>10</v>
      </c>
      <c r="F33" s="5">
        <v>19.25</v>
      </c>
      <c r="G33" s="81">
        <f t="shared" si="0"/>
        <v>192.5</v>
      </c>
      <c r="H33" s="29">
        <f t="shared" si="5"/>
        <v>62.947500000000012</v>
      </c>
      <c r="I33" s="81">
        <f t="shared" si="6"/>
        <v>255.44750000000002</v>
      </c>
      <c r="J33" s="9" t="s">
        <v>22</v>
      </c>
      <c r="K33" s="245"/>
    </row>
    <row r="34" spans="1:15" x14ac:dyDescent="0.2">
      <c r="A34" s="9"/>
      <c r="B34" s="77" t="s">
        <v>137</v>
      </c>
      <c r="C34" s="269">
        <v>1</v>
      </c>
      <c r="D34" s="7" t="s">
        <v>13</v>
      </c>
      <c r="E34" s="174">
        <v>15</v>
      </c>
      <c r="F34" s="5">
        <v>19.25</v>
      </c>
      <c r="G34" s="81">
        <f t="shared" si="0"/>
        <v>288.75</v>
      </c>
      <c r="H34" s="29">
        <f t="shared" si="5"/>
        <v>94.421250000000001</v>
      </c>
      <c r="I34" s="81">
        <f t="shared" si="6"/>
        <v>383.17124999999999</v>
      </c>
      <c r="J34" s="9" t="s">
        <v>22</v>
      </c>
      <c r="K34" s="245"/>
    </row>
    <row r="35" spans="1:15" x14ac:dyDescent="0.2">
      <c r="A35" s="9"/>
      <c r="B35" s="77" t="s">
        <v>150</v>
      </c>
      <c r="C35" s="269">
        <v>1</v>
      </c>
      <c r="D35" s="7" t="s">
        <v>13</v>
      </c>
      <c r="E35" s="174">
        <v>10</v>
      </c>
      <c r="F35" s="5">
        <v>19.25</v>
      </c>
      <c r="G35" s="81">
        <f t="shared" si="0"/>
        <v>192.5</v>
      </c>
      <c r="H35" s="29">
        <f t="shared" si="5"/>
        <v>62.947500000000012</v>
      </c>
      <c r="I35" s="81">
        <f t="shared" si="6"/>
        <v>255.44750000000002</v>
      </c>
      <c r="J35" s="9" t="s">
        <v>22</v>
      </c>
      <c r="K35" s="245"/>
    </row>
    <row r="36" spans="1:15" x14ac:dyDescent="0.2">
      <c r="A36" s="9"/>
      <c r="B36" s="19" t="s">
        <v>151</v>
      </c>
      <c r="C36" s="188" t="s">
        <v>18</v>
      </c>
      <c r="D36" s="7" t="s">
        <v>13</v>
      </c>
      <c r="E36" s="174">
        <v>40</v>
      </c>
      <c r="F36" s="5">
        <v>19.25</v>
      </c>
      <c r="G36" s="81">
        <f t="shared" si="0"/>
        <v>770</v>
      </c>
      <c r="H36" s="29">
        <f t="shared" si="5"/>
        <v>251.79000000000005</v>
      </c>
      <c r="I36" s="81">
        <f t="shared" si="6"/>
        <v>1021.7900000000001</v>
      </c>
      <c r="J36" s="9" t="s">
        <v>22</v>
      </c>
      <c r="K36" s="245"/>
    </row>
    <row r="37" spans="1:15" x14ac:dyDescent="0.2">
      <c r="A37" s="9" t="s">
        <v>14</v>
      </c>
      <c r="B37" s="19" t="s">
        <v>139</v>
      </c>
      <c r="C37" s="93" t="s">
        <v>103</v>
      </c>
      <c r="D37" s="7" t="s">
        <v>13</v>
      </c>
      <c r="E37" s="174">
        <v>38</v>
      </c>
      <c r="F37" s="266">
        <v>38.5</v>
      </c>
      <c r="G37" s="81">
        <f t="shared" si="0"/>
        <v>1463</v>
      </c>
      <c r="H37" s="29">
        <f t="shared" si="5"/>
        <v>478.40100000000007</v>
      </c>
      <c r="I37" s="81">
        <f t="shared" si="6"/>
        <v>1941.4010000000001</v>
      </c>
      <c r="J37" s="9" t="s">
        <v>22</v>
      </c>
      <c r="K37" s="245"/>
    </row>
    <row r="38" spans="1:15" x14ac:dyDescent="0.2">
      <c r="A38" s="9"/>
      <c r="B38" s="19" t="s">
        <v>130</v>
      </c>
      <c r="C38" s="93" t="s">
        <v>103</v>
      </c>
      <c r="D38" s="7" t="s">
        <v>13</v>
      </c>
      <c r="E38" s="174">
        <f>14+121</f>
        <v>135</v>
      </c>
      <c r="F38" s="5">
        <v>19.25</v>
      </c>
      <c r="G38" s="81">
        <f t="shared" si="0"/>
        <v>2598.75</v>
      </c>
      <c r="H38" s="29">
        <f t="shared" si="5"/>
        <v>849.7912500000001</v>
      </c>
      <c r="I38" s="81">
        <f t="shared" si="6"/>
        <v>3448.5412500000002</v>
      </c>
      <c r="J38" s="9" t="s">
        <v>22</v>
      </c>
      <c r="K38" s="245"/>
    </row>
    <row r="39" spans="1:15" x14ac:dyDescent="0.2">
      <c r="A39" s="9" t="s">
        <v>14</v>
      </c>
      <c r="B39" s="19" t="s">
        <v>131</v>
      </c>
      <c r="C39" s="93" t="s">
        <v>103</v>
      </c>
      <c r="D39" s="7" t="s">
        <v>13</v>
      </c>
      <c r="E39" s="174">
        <v>114</v>
      </c>
      <c r="F39" s="5">
        <v>19.25</v>
      </c>
      <c r="G39" s="81">
        <f t="shared" si="0"/>
        <v>2194.5</v>
      </c>
      <c r="H39" s="29">
        <f t="shared" si="5"/>
        <v>717.6015000000001</v>
      </c>
      <c r="I39" s="81">
        <f t="shared" si="6"/>
        <v>2912.1015000000002</v>
      </c>
      <c r="J39" s="9" t="s">
        <v>22</v>
      </c>
      <c r="K39" s="245"/>
    </row>
    <row r="40" spans="1:15" x14ac:dyDescent="0.2">
      <c r="A40" s="9"/>
      <c r="B40" s="265" t="s">
        <v>140</v>
      </c>
      <c r="C40" s="93" t="s">
        <v>103</v>
      </c>
      <c r="D40" s="7" t="s">
        <v>13</v>
      </c>
      <c r="E40" s="174">
        <f>20</f>
        <v>20</v>
      </c>
      <c r="F40" s="164">
        <v>38.5</v>
      </c>
      <c r="G40" s="154">
        <f t="shared" si="0"/>
        <v>770</v>
      </c>
      <c r="H40" s="154">
        <f t="shared" si="5"/>
        <v>251.79000000000005</v>
      </c>
      <c r="I40" s="154">
        <f t="shared" si="6"/>
        <v>1021.7900000000001</v>
      </c>
      <c r="J40" s="9" t="s">
        <v>22</v>
      </c>
      <c r="K40" s="245"/>
    </row>
    <row r="41" spans="1:15" x14ac:dyDescent="0.2">
      <c r="A41" s="9" t="s">
        <v>14</v>
      </c>
      <c r="B41" s="265" t="s">
        <v>106</v>
      </c>
      <c r="C41" s="93" t="s">
        <v>103</v>
      </c>
      <c r="D41" s="7" t="s">
        <v>13</v>
      </c>
      <c r="E41" s="174">
        <v>68</v>
      </c>
      <c r="F41" s="164">
        <v>38.5</v>
      </c>
      <c r="G41" s="154">
        <f t="shared" si="0"/>
        <v>2618</v>
      </c>
      <c r="H41" s="154">
        <f t="shared" si="5"/>
        <v>856.08600000000001</v>
      </c>
      <c r="I41" s="154">
        <f t="shared" si="6"/>
        <v>3474.0860000000002</v>
      </c>
      <c r="J41" s="9" t="s">
        <v>22</v>
      </c>
      <c r="K41" s="245"/>
    </row>
    <row r="42" spans="1:15" ht="22.5" x14ac:dyDescent="0.2">
      <c r="A42" s="9" t="s">
        <v>14</v>
      </c>
      <c r="B42" s="77" t="s">
        <v>169</v>
      </c>
      <c r="C42" s="93" t="s">
        <v>18</v>
      </c>
      <c r="D42" s="7" t="s">
        <v>13</v>
      </c>
      <c r="E42" s="174">
        <v>267</v>
      </c>
      <c r="F42" s="5">
        <v>19.25</v>
      </c>
      <c r="G42" s="81">
        <f>4677.64-1470</f>
        <v>3207.6400000000003</v>
      </c>
      <c r="H42" s="29">
        <f t="shared" si="5"/>
        <v>1048.8982800000003</v>
      </c>
      <c r="I42" s="81">
        <f t="shared" si="6"/>
        <v>4256.5382800000007</v>
      </c>
      <c r="J42" s="9" t="s">
        <v>22</v>
      </c>
      <c r="K42" s="245"/>
    </row>
    <row r="43" spans="1:15" x14ac:dyDescent="0.2">
      <c r="A43" s="9"/>
      <c r="B43" s="252" t="s">
        <v>159</v>
      </c>
      <c r="C43" s="189"/>
      <c r="D43" s="181"/>
      <c r="E43" s="206">
        <v>35</v>
      </c>
      <c r="F43" s="207"/>
      <c r="G43" s="256">
        <v>617.82000000000005</v>
      </c>
      <c r="H43" s="256">
        <f t="shared" si="5"/>
        <v>202.02714000000003</v>
      </c>
      <c r="I43" s="256">
        <f t="shared" si="6"/>
        <v>819.84714000000008</v>
      </c>
      <c r="J43" s="9" t="s">
        <v>22</v>
      </c>
      <c r="K43" s="245"/>
    </row>
    <row r="44" spans="1:15" ht="12.75" customHeight="1" x14ac:dyDescent="0.25">
      <c r="A44" s="9"/>
      <c r="B44" s="209" t="s">
        <v>94</v>
      </c>
      <c r="C44" s="210"/>
      <c r="D44" s="201"/>
      <c r="E44" s="215">
        <f>SUM(E5:E43)+E40+E41+E37</f>
        <v>1953</v>
      </c>
      <c r="F44" s="211"/>
      <c r="G44" s="212">
        <f>SUM(G5:G43)</f>
        <v>35607.21</v>
      </c>
      <c r="H44" s="212">
        <f>SUM(H5:H43)</f>
        <v>11643.557670000004</v>
      </c>
      <c r="I44" s="212">
        <f>SUM(I5:I43)</f>
        <v>47250.767670000001</v>
      </c>
      <c r="J44" s="9" t="s">
        <v>22</v>
      </c>
      <c r="K44" s="245"/>
    </row>
    <row r="45" spans="1:15" s="15" customFormat="1" ht="1.5" customHeight="1" x14ac:dyDescent="0.25">
      <c r="A45" s="16"/>
      <c r="B45" s="21"/>
      <c r="C45" s="22"/>
      <c r="D45" s="23"/>
      <c r="E45" s="213"/>
      <c r="F45" s="213"/>
      <c r="G45" s="214"/>
      <c r="H45" s="214"/>
      <c r="I45" s="214"/>
      <c r="K45" s="246"/>
      <c r="L45" s="2"/>
      <c r="M45" s="2"/>
      <c r="N45" s="32"/>
      <c r="O45" s="32"/>
    </row>
    <row r="46" spans="1:15" s="1" customFormat="1" ht="5.25" customHeight="1" thickBot="1" x14ac:dyDescent="0.3">
      <c r="A46" s="135"/>
      <c r="B46" s="135"/>
      <c r="C46" s="17"/>
      <c r="E46" s="315"/>
      <c r="F46" s="316"/>
      <c r="G46" s="316"/>
      <c r="H46" s="316"/>
      <c r="I46" s="317"/>
      <c r="K46" s="135"/>
      <c r="L46" s="2"/>
      <c r="M46" s="2"/>
      <c r="N46" s="32"/>
      <c r="O46" s="32"/>
    </row>
    <row r="47" spans="1:15" ht="20.25" customHeight="1" x14ac:dyDescent="0.2">
      <c r="A47" s="129"/>
      <c r="B47" s="130" t="s">
        <v>0</v>
      </c>
      <c r="C47" s="131" t="s">
        <v>32</v>
      </c>
      <c r="D47" s="131" t="s">
        <v>11</v>
      </c>
      <c r="E47" s="131" t="s">
        <v>2</v>
      </c>
      <c r="F47" s="131" t="s">
        <v>3</v>
      </c>
      <c r="G47" s="132" t="s">
        <v>4</v>
      </c>
      <c r="H47" s="132" t="s">
        <v>5</v>
      </c>
      <c r="I47" s="132" t="s">
        <v>6</v>
      </c>
      <c r="J47" s="133" t="s">
        <v>31</v>
      </c>
      <c r="K47" s="247"/>
    </row>
    <row r="48" spans="1:15" ht="13.5" customHeight="1" x14ac:dyDescent="0.2">
      <c r="A48" s="98" t="s">
        <v>7</v>
      </c>
      <c r="B48" s="20" t="s">
        <v>38</v>
      </c>
      <c r="C48" s="6">
        <v>15</v>
      </c>
      <c r="D48" s="12" t="s">
        <v>12</v>
      </c>
      <c r="E48" s="6">
        <v>135</v>
      </c>
      <c r="F48" s="6">
        <v>13.75</v>
      </c>
      <c r="G48" s="33">
        <f t="shared" ref="G48:G55" si="7">E48*F48</f>
        <v>1856.25</v>
      </c>
      <c r="H48" s="11">
        <f t="shared" ref="H48:H56" si="8">G48*32.7/100</f>
        <v>606.99375000000009</v>
      </c>
      <c r="I48" s="31">
        <f t="shared" ref="I48:I56" si="9">G48+H48</f>
        <v>2463.2437500000001</v>
      </c>
      <c r="J48" s="126" t="s">
        <v>22</v>
      </c>
      <c r="K48" s="245"/>
    </row>
    <row r="49" spans="1:11" ht="19.5" customHeight="1" x14ac:dyDescent="0.2">
      <c r="A49" s="98" t="s">
        <v>7</v>
      </c>
      <c r="B49" s="26" t="s">
        <v>29</v>
      </c>
      <c r="C49" s="6">
        <v>14</v>
      </c>
      <c r="D49" s="12" t="s">
        <v>13</v>
      </c>
      <c r="E49" s="6">
        <v>53</v>
      </c>
      <c r="F49" s="6">
        <v>13.75</v>
      </c>
      <c r="G49" s="33">
        <f t="shared" si="7"/>
        <v>728.75</v>
      </c>
      <c r="H49" s="33">
        <f t="shared" si="8"/>
        <v>238.30125000000004</v>
      </c>
      <c r="I49" s="31">
        <f t="shared" si="9"/>
        <v>967.05124999999998</v>
      </c>
      <c r="J49" s="126" t="s">
        <v>22</v>
      </c>
      <c r="K49" s="167"/>
    </row>
    <row r="50" spans="1:11" ht="19.5" customHeight="1" x14ac:dyDescent="0.2">
      <c r="A50" s="98" t="s">
        <v>7</v>
      </c>
      <c r="B50" s="26" t="s">
        <v>30</v>
      </c>
      <c r="C50" s="6">
        <v>14</v>
      </c>
      <c r="D50" s="12" t="s">
        <v>13</v>
      </c>
      <c r="E50" s="6">
        <v>101</v>
      </c>
      <c r="F50" s="6">
        <v>13.75</v>
      </c>
      <c r="G50" s="33">
        <f t="shared" si="7"/>
        <v>1388.75</v>
      </c>
      <c r="H50" s="33">
        <f t="shared" si="8"/>
        <v>454.12125000000009</v>
      </c>
      <c r="I50" s="31">
        <f t="shared" si="9"/>
        <v>1842.8712500000001</v>
      </c>
      <c r="J50" s="126" t="s">
        <v>22</v>
      </c>
      <c r="K50" s="167"/>
    </row>
    <row r="51" spans="1:11" ht="12.75" customHeight="1" x14ac:dyDescent="0.2">
      <c r="A51" s="98" t="s">
        <v>7</v>
      </c>
      <c r="B51" s="26" t="s">
        <v>110</v>
      </c>
      <c r="C51" s="6">
        <v>7</v>
      </c>
      <c r="D51" s="12" t="s">
        <v>12</v>
      </c>
      <c r="E51" s="6">
        <v>57</v>
      </c>
      <c r="F51" s="6">
        <v>13.75</v>
      </c>
      <c r="G51" s="33">
        <f>E51*F51</f>
        <v>783.75</v>
      </c>
      <c r="H51" s="33">
        <f t="shared" si="8"/>
        <v>256.28625000000005</v>
      </c>
      <c r="I51" s="31">
        <f>G51+H51</f>
        <v>1040.0362500000001</v>
      </c>
      <c r="J51" s="126" t="s">
        <v>22</v>
      </c>
      <c r="K51" s="167"/>
    </row>
    <row r="52" spans="1:11" ht="12.75" customHeight="1" x14ac:dyDescent="0.2">
      <c r="A52" s="98" t="s">
        <v>7</v>
      </c>
      <c r="B52" s="26" t="s">
        <v>79</v>
      </c>
      <c r="C52" s="6">
        <v>3</v>
      </c>
      <c r="D52" s="12" t="s">
        <v>12</v>
      </c>
      <c r="E52" s="6">
        <v>15</v>
      </c>
      <c r="F52" s="6">
        <v>13.75</v>
      </c>
      <c r="G52" s="33">
        <f>E52*F52</f>
        <v>206.25</v>
      </c>
      <c r="H52" s="33">
        <f t="shared" si="8"/>
        <v>67.443750000000009</v>
      </c>
      <c r="I52" s="31">
        <f>G52+H52</f>
        <v>273.69375000000002</v>
      </c>
      <c r="J52" s="126" t="s">
        <v>22</v>
      </c>
      <c r="K52" s="167"/>
    </row>
    <row r="53" spans="1:11" ht="12.75" customHeight="1" x14ac:dyDescent="0.2">
      <c r="A53" s="98" t="s">
        <v>7</v>
      </c>
      <c r="B53" s="26" t="s">
        <v>99</v>
      </c>
      <c r="C53" s="6">
        <v>3</v>
      </c>
      <c r="D53" s="12" t="s">
        <v>12</v>
      </c>
      <c r="E53" s="6">
        <v>53</v>
      </c>
      <c r="F53" s="6">
        <v>13.75</v>
      </c>
      <c r="G53" s="33">
        <f>E53*F53</f>
        <v>728.75</v>
      </c>
      <c r="H53" s="33">
        <f t="shared" si="8"/>
        <v>238.30125000000004</v>
      </c>
      <c r="I53" s="31">
        <f>G53+H53</f>
        <v>967.05124999999998</v>
      </c>
      <c r="J53" s="126"/>
      <c r="K53" s="167"/>
    </row>
    <row r="54" spans="1:11" ht="28.5" customHeight="1" x14ac:dyDescent="0.2">
      <c r="A54" s="98" t="s">
        <v>7</v>
      </c>
      <c r="B54" s="26" t="s">
        <v>116</v>
      </c>
      <c r="C54" s="6">
        <v>12</v>
      </c>
      <c r="D54" s="12" t="s">
        <v>12</v>
      </c>
      <c r="E54" s="6">
        <v>56</v>
      </c>
      <c r="F54" s="6">
        <v>13.75</v>
      </c>
      <c r="G54" s="33">
        <f t="shared" si="7"/>
        <v>770</v>
      </c>
      <c r="H54" s="33">
        <f t="shared" si="8"/>
        <v>251.79000000000005</v>
      </c>
      <c r="I54" s="31">
        <f t="shared" si="9"/>
        <v>1021.7900000000001</v>
      </c>
      <c r="J54" s="126" t="s">
        <v>22</v>
      </c>
      <c r="K54" s="167"/>
    </row>
    <row r="55" spans="1:11" ht="18" customHeight="1" x14ac:dyDescent="0.2">
      <c r="A55" s="98" t="s">
        <v>7</v>
      </c>
      <c r="B55" s="26" t="s">
        <v>149</v>
      </c>
      <c r="C55" s="6">
        <v>3</v>
      </c>
      <c r="D55" s="12" t="s">
        <v>12</v>
      </c>
      <c r="E55" s="6">
        <v>42</v>
      </c>
      <c r="F55" s="6">
        <v>13.75</v>
      </c>
      <c r="G55" s="33">
        <f t="shared" si="7"/>
        <v>577.5</v>
      </c>
      <c r="H55" s="33">
        <f t="shared" si="8"/>
        <v>188.8425</v>
      </c>
      <c r="I55" s="31">
        <f t="shared" si="9"/>
        <v>766.34249999999997</v>
      </c>
      <c r="J55" s="126" t="s">
        <v>22</v>
      </c>
      <c r="K55" s="167"/>
    </row>
    <row r="56" spans="1:11" ht="12" customHeight="1" x14ac:dyDescent="0.2">
      <c r="A56" s="98" t="s">
        <v>7</v>
      </c>
      <c r="B56" s="26" t="s">
        <v>160</v>
      </c>
      <c r="C56" s="6"/>
      <c r="D56" s="12" t="s">
        <v>12</v>
      </c>
      <c r="E56" s="6"/>
      <c r="F56" s="6"/>
      <c r="G56" s="33">
        <v>382.73</v>
      </c>
      <c r="H56" s="33">
        <f t="shared" si="8"/>
        <v>125.15271000000003</v>
      </c>
      <c r="I56" s="31">
        <f t="shared" si="9"/>
        <v>507.88271000000003</v>
      </c>
      <c r="J56" s="126" t="s">
        <v>22</v>
      </c>
      <c r="K56" s="167"/>
    </row>
    <row r="57" spans="1:11" ht="13.5" thickBot="1" x14ac:dyDescent="0.25">
      <c r="A57" s="99"/>
      <c r="B57" s="134"/>
      <c r="C57" s="194" t="s">
        <v>9</v>
      </c>
      <c r="D57" s="279"/>
      <c r="E57" s="194">
        <f>SUM(E48:E56)</f>
        <v>512</v>
      </c>
      <c r="F57" s="194"/>
      <c r="G57" s="195">
        <f>SUM(G48:G56)</f>
        <v>7422.73</v>
      </c>
      <c r="H57" s="195">
        <f>SUM(H48:H56)</f>
        <v>2427.2327100000002</v>
      </c>
      <c r="I57" s="195">
        <f>SUM(I48:I56)</f>
        <v>9849.9627100000016</v>
      </c>
      <c r="J57" s="110" t="s">
        <v>22</v>
      </c>
      <c r="K57" s="167"/>
    </row>
    <row r="58" spans="1:11" ht="12" customHeight="1" x14ac:dyDescent="0.2">
      <c r="A58" s="94" t="s">
        <v>8</v>
      </c>
      <c r="B58" s="144" t="s">
        <v>37</v>
      </c>
      <c r="C58" s="119">
        <v>3</v>
      </c>
      <c r="D58" s="12" t="s">
        <v>12</v>
      </c>
      <c r="E58" s="119">
        <v>90</v>
      </c>
      <c r="F58" s="280">
        <v>15.95</v>
      </c>
      <c r="G58" s="97">
        <f>E58*F58</f>
        <v>1435.5</v>
      </c>
      <c r="H58" s="97">
        <f t="shared" ref="H58:H66" si="10">G58*32.7/100</f>
        <v>469.40850000000006</v>
      </c>
      <c r="I58" s="97">
        <f t="shared" ref="I58:I66" si="11">G58+H58</f>
        <v>1904.9085</v>
      </c>
      <c r="J58" s="125" t="s">
        <v>22</v>
      </c>
      <c r="K58" s="167"/>
    </row>
    <row r="59" spans="1:11" ht="12" customHeight="1" x14ac:dyDescent="0.2">
      <c r="A59" s="98" t="s">
        <v>8</v>
      </c>
      <c r="B59" s="10" t="s">
        <v>38</v>
      </c>
      <c r="C59" s="6">
        <v>3</v>
      </c>
      <c r="D59" s="12" t="s">
        <v>12</v>
      </c>
      <c r="E59" s="6">
        <v>21</v>
      </c>
      <c r="F59" s="6">
        <v>15.95</v>
      </c>
      <c r="G59" s="33">
        <f t="shared" ref="G59:G65" si="12">E59*F59</f>
        <v>334.95</v>
      </c>
      <c r="H59" s="33">
        <f t="shared" si="10"/>
        <v>109.52865</v>
      </c>
      <c r="I59" s="33">
        <f t="shared" si="11"/>
        <v>444.47865000000002</v>
      </c>
      <c r="J59" s="126" t="s">
        <v>22</v>
      </c>
      <c r="K59" s="167"/>
    </row>
    <row r="60" spans="1:11" ht="12" customHeight="1" x14ac:dyDescent="0.2">
      <c r="A60" s="98" t="s">
        <v>8</v>
      </c>
      <c r="B60" s="10" t="s">
        <v>25</v>
      </c>
      <c r="C60" s="6">
        <v>1</v>
      </c>
      <c r="D60" s="12" t="s">
        <v>12</v>
      </c>
      <c r="E60" s="6">
        <v>5</v>
      </c>
      <c r="F60" s="6">
        <v>15.95</v>
      </c>
      <c r="G60" s="33">
        <f t="shared" si="12"/>
        <v>79.75</v>
      </c>
      <c r="H60" s="33">
        <f t="shared" si="10"/>
        <v>26.078250000000004</v>
      </c>
      <c r="I60" s="33">
        <f t="shared" si="11"/>
        <v>105.82825</v>
      </c>
      <c r="J60" s="126" t="s">
        <v>22</v>
      </c>
      <c r="K60" s="167"/>
    </row>
    <row r="61" spans="1:11" ht="12" customHeight="1" x14ac:dyDescent="0.2">
      <c r="A61" s="98" t="s">
        <v>8</v>
      </c>
      <c r="B61" s="59" t="s">
        <v>100</v>
      </c>
      <c r="C61" s="6">
        <v>3</v>
      </c>
      <c r="D61" s="12" t="s">
        <v>12</v>
      </c>
      <c r="E61" s="6">
        <v>9</v>
      </c>
      <c r="F61" s="6">
        <v>15.95</v>
      </c>
      <c r="G61" s="33">
        <f t="shared" si="12"/>
        <v>143.54999999999998</v>
      </c>
      <c r="H61" s="33">
        <f t="shared" si="10"/>
        <v>46.940849999999998</v>
      </c>
      <c r="I61" s="33">
        <f t="shared" si="11"/>
        <v>190.49084999999997</v>
      </c>
      <c r="J61" s="126" t="s">
        <v>22</v>
      </c>
      <c r="K61" s="167"/>
    </row>
    <row r="62" spans="1:11" ht="12" customHeight="1" x14ac:dyDescent="0.2">
      <c r="A62" s="98" t="s">
        <v>8</v>
      </c>
      <c r="B62" s="26" t="s">
        <v>123</v>
      </c>
      <c r="C62" s="6">
        <v>3</v>
      </c>
      <c r="D62" s="12" t="s">
        <v>12</v>
      </c>
      <c r="E62" s="6">
        <v>20</v>
      </c>
      <c r="F62" s="6">
        <v>15.95</v>
      </c>
      <c r="G62" s="33">
        <f t="shared" si="12"/>
        <v>319</v>
      </c>
      <c r="H62" s="33">
        <f t="shared" si="10"/>
        <v>104.31300000000002</v>
      </c>
      <c r="I62" s="33">
        <f t="shared" si="11"/>
        <v>423.31299999999999</v>
      </c>
      <c r="J62" s="126" t="s">
        <v>22</v>
      </c>
      <c r="K62" s="167"/>
    </row>
    <row r="63" spans="1:11" ht="12" customHeight="1" x14ac:dyDescent="0.2">
      <c r="A63" s="98" t="s">
        <v>8</v>
      </c>
      <c r="B63" s="26" t="s">
        <v>62</v>
      </c>
      <c r="C63" s="6">
        <v>1</v>
      </c>
      <c r="D63" s="12" t="s">
        <v>12</v>
      </c>
      <c r="E63" s="6">
        <v>15</v>
      </c>
      <c r="F63" s="6">
        <v>15.95</v>
      </c>
      <c r="G63" s="33">
        <f t="shared" si="12"/>
        <v>239.25</v>
      </c>
      <c r="H63" s="33">
        <f t="shared" si="10"/>
        <v>78.234750000000005</v>
      </c>
      <c r="I63" s="33">
        <f t="shared" si="11"/>
        <v>317.48475000000002</v>
      </c>
      <c r="J63" s="126" t="s">
        <v>22</v>
      </c>
      <c r="K63" s="167"/>
    </row>
    <row r="64" spans="1:11" ht="12" customHeight="1" x14ac:dyDescent="0.2">
      <c r="A64" s="98" t="s">
        <v>8</v>
      </c>
      <c r="B64" s="26" t="s">
        <v>124</v>
      </c>
      <c r="C64" s="6">
        <v>1</v>
      </c>
      <c r="D64" s="12" t="s">
        <v>12</v>
      </c>
      <c r="E64" s="6">
        <v>10</v>
      </c>
      <c r="F64" s="6">
        <v>15.95</v>
      </c>
      <c r="G64" s="33">
        <f t="shared" si="12"/>
        <v>159.5</v>
      </c>
      <c r="H64" s="33">
        <f t="shared" si="10"/>
        <v>52.156500000000008</v>
      </c>
      <c r="I64" s="33">
        <f t="shared" si="11"/>
        <v>211.65649999999999</v>
      </c>
      <c r="J64" s="126" t="s">
        <v>22</v>
      </c>
      <c r="K64" s="167"/>
    </row>
    <row r="65" spans="1:15" ht="12" customHeight="1" x14ac:dyDescent="0.2">
      <c r="A65" s="98" t="s">
        <v>153</v>
      </c>
      <c r="B65" s="177" t="s">
        <v>154</v>
      </c>
      <c r="C65" s="6">
        <v>1</v>
      </c>
      <c r="D65" s="12" t="s">
        <v>12</v>
      </c>
      <c r="E65" s="6">
        <v>10</v>
      </c>
      <c r="F65" s="281">
        <v>15.95</v>
      </c>
      <c r="G65" s="33">
        <f t="shared" si="12"/>
        <v>159.5</v>
      </c>
      <c r="H65" s="33">
        <f t="shared" si="10"/>
        <v>52.156500000000008</v>
      </c>
      <c r="I65" s="33">
        <f t="shared" si="11"/>
        <v>211.65649999999999</v>
      </c>
      <c r="J65" s="126" t="s">
        <v>22</v>
      </c>
      <c r="K65" s="167"/>
    </row>
    <row r="66" spans="1:15" ht="12" customHeight="1" x14ac:dyDescent="0.2">
      <c r="A66" s="98" t="s">
        <v>8</v>
      </c>
      <c r="B66" s="26" t="s">
        <v>160</v>
      </c>
      <c r="C66" s="272"/>
      <c r="D66" s="12" t="s">
        <v>12</v>
      </c>
      <c r="E66" s="272"/>
      <c r="F66" s="272"/>
      <c r="G66" s="33">
        <v>1200</v>
      </c>
      <c r="H66" s="33">
        <f t="shared" si="10"/>
        <v>392.4</v>
      </c>
      <c r="I66" s="33">
        <f t="shared" si="11"/>
        <v>1592.4</v>
      </c>
      <c r="J66" s="126" t="s">
        <v>22</v>
      </c>
      <c r="K66" s="167"/>
    </row>
    <row r="67" spans="1:15" ht="15" customHeight="1" thickBot="1" x14ac:dyDescent="0.25">
      <c r="A67" s="127"/>
      <c r="B67" s="128"/>
      <c r="C67" s="194" t="s">
        <v>9</v>
      </c>
      <c r="D67" s="194"/>
      <c r="E67" s="194">
        <f>SUM(E58:E65)</f>
        <v>180</v>
      </c>
      <c r="F67" s="194"/>
      <c r="G67" s="195">
        <f>SUM(G58:G66)</f>
        <v>4071</v>
      </c>
      <c r="H67" s="195">
        <f>SUM(H58:H66)</f>
        <v>1331.2170000000001</v>
      </c>
      <c r="I67" s="195">
        <f>SUM(I58:I66)</f>
        <v>5402.2170000000006</v>
      </c>
      <c r="J67" s="126" t="s">
        <v>22</v>
      </c>
      <c r="K67" s="167"/>
    </row>
    <row r="68" spans="1:15" ht="21.75" customHeight="1" thickBot="1" x14ac:dyDescent="0.25">
      <c r="A68" s="9" t="s">
        <v>16</v>
      </c>
      <c r="B68" s="77" t="s">
        <v>179</v>
      </c>
      <c r="C68" s="77"/>
      <c r="D68" s="274"/>
      <c r="E68" s="194">
        <v>50</v>
      </c>
      <c r="F68" s="194"/>
      <c r="G68" s="195">
        <f>803.26-268</f>
        <v>535.26</v>
      </c>
      <c r="H68" s="195">
        <f t="shared" ref="H68" si="13">G68*32.7/100</f>
        <v>175.03002000000001</v>
      </c>
      <c r="I68" s="195">
        <f t="shared" ref="I68" si="14">G68+H68</f>
        <v>710.29002000000003</v>
      </c>
      <c r="J68" s="126"/>
      <c r="K68" s="167"/>
    </row>
    <row r="69" spans="1:15" ht="16.5" customHeight="1" thickBot="1" x14ac:dyDescent="0.25">
      <c r="A69" s="99"/>
      <c r="B69" s="109"/>
      <c r="C69" s="191" t="s">
        <v>10</v>
      </c>
      <c r="D69" s="192"/>
      <c r="E69" s="191">
        <f>E57+E67</f>
        <v>692</v>
      </c>
      <c r="F69" s="191">
        <f>F57+F67</f>
        <v>0</v>
      </c>
      <c r="G69" s="193">
        <f>G57+G67+G68</f>
        <v>12028.99</v>
      </c>
      <c r="H69" s="193">
        <f t="shared" ref="H69:I69" si="15">H57+H67+H68</f>
        <v>3933.4797300000005</v>
      </c>
      <c r="I69" s="193">
        <f t="shared" si="15"/>
        <v>15962.469730000003</v>
      </c>
      <c r="J69" s="126" t="s">
        <v>22</v>
      </c>
      <c r="K69" s="167"/>
      <c r="M69" s="273"/>
    </row>
    <row r="70" spans="1:15" ht="18.75" customHeight="1" thickBot="1" x14ac:dyDescent="0.3">
      <c r="A70" s="99"/>
      <c r="B70" s="182"/>
      <c r="C70" s="183"/>
      <c r="D70" s="179"/>
      <c r="E70" s="178"/>
      <c r="F70" s="180" t="s">
        <v>111</v>
      </c>
      <c r="G70" s="184">
        <f>G44+G69</f>
        <v>47636.2</v>
      </c>
      <c r="H70" s="184">
        <f>H44+H69</f>
        <v>15577.037400000005</v>
      </c>
      <c r="I70" s="184">
        <f>I44+I69</f>
        <v>63213.237400000005</v>
      </c>
      <c r="J70" s="124"/>
      <c r="K70" s="167"/>
    </row>
    <row r="71" spans="1:15" ht="13.5" customHeight="1" x14ac:dyDescent="0.2">
      <c r="A71" s="94" t="s">
        <v>19</v>
      </c>
      <c r="B71" s="177" t="s">
        <v>26</v>
      </c>
      <c r="C71" s="119"/>
      <c r="D71" s="120"/>
      <c r="E71" s="119"/>
      <c r="F71" s="119"/>
      <c r="G71" s="97">
        <v>2880</v>
      </c>
      <c r="H71" s="97">
        <f>G71*32.7/100</f>
        <v>941.7600000000001</v>
      </c>
      <c r="I71" s="97">
        <f>G71+H71</f>
        <v>3821.76</v>
      </c>
      <c r="J71" s="121" t="s">
        <v>22</v>
      </c>
      <c r="K71" s="167"/>
    </row>
    <row r="72" spans="1:15" ht="13.5" customHeight="1" x14ac:dyDescent="0.2">
      <c r="A72" s="98" t="s">
        <v>8</v>
      </c>
      <c r="B72" s="177" t="s">
        <v>27</v>
      </c>
      <c r="C72" s="6">
        <v>1</v>
      </c>
      <c r="D72" s="12" t="s">
        <v>28</v>
      </c>
      <c r="E72" s="6"/>
      <c r="F72" s="6"/>
      <c r="G72" s="33">
        <v>325.2</v>
      </c>
      <c r="H72" s="33">
        <f t="shared" ref="H72" si="16">G72*32.7/100</f>
        <v>106.3404</v>
      </c>
      <c r="I72" s="33">
        <f t="shared" ref="I72" si="17">G72+H72</f>
        <v>431.54039999999998</v>
      </c>
      <c r="J72" s="108" t="s">
        <v>22</v>
      </c>
      <c r="K72" s="167"/>
      <c r="M72" s="24"/>
    </row>
    <row r="73" spans="1:15" ht="12" customHeight="1" thickBot="1" x14ac:dyDescent="0.25">
      <c r="A73" s="68"/>
      <c r="B73" s="122"/>
      <c r="C73" s="100" t="s">
        <v>9</v>
      </c>
      <c r="D73" s="123"/>
      <c r="E73" s="101"/>
      <c r="F73" s="101"/>
      <c r="G73" s="102">
        <f>SUM(G71:G72)</f>
        <v>3205.2</v>
      </c>
      <c r="H73" s="69">
        <f>SUM(H71:H72)</f>
        <v>1048.1004</v>
      </c>
      <c r="I73" s="69">
        <f>SUM(I71:I72)</f>
        <v>4253.3004000000001</v>
      </c>
      <c r="J73" s="124"/>
      <c r="K73" s="167"/>
      <c r="M73" s="24"/>
    </row>
    <row r="74" spans="1:15" ht="15" customHeight="1" thickBot="1" x14ac:dyDescent="0.35">
      <c r="A74" s="68"/>
      <c r="B74" s="257"/>
      <c r="C74" s="258"/>
      <c r="D74" s="259"/>
      <c r="E74" s="260"/>
      <c r="F74" s="261" t="s">
        <v>112</v>
      </c>
      <c r="G74" s="262">
        <f>G70+G73</f>
        <v>50841.399999999994</v>
      </c>
      <c r="H74" s="262">
        <f t="shared" ref="H74:I74" si="18">H70+H73</f>
        <v>16625.137800000004</v>
      </c>
      <c r="I74" s="262">
        <f t="shared" si="18"/>
        <v>67466.537800000006</v>
      </c>
      <c r="J74" s="124"/>
      <c r="K74" s="167"/>
    </row>
    <row r="75" spans="1:15" ht="9.75" customHeight="1" thickBot="1" x14ac:dyDescent="0.25"/>
    <row r="76" spans="1:15" s="27" customFormat="1" ht="27" customHeight="1" thickBot="1" x14ac:dyDescent="0.25">
      <c r="A76" s="103"/>
      <c r="B76" s="104" t="s">
        <v>0</v>
      </c>
      <c r="C76" s="105" t="s">
        <v>33</v>
      </c>
      <c r="D76" s="104"/>
      <c r="E76" s="104" t="s">
        <v>34</v>
      </c>
      <c r="F76" s="104" t="s">
        <v>36</v>
      </c>
      <c r="G76" s="106" t="s">
        <v>4</v>
      </c>
      <c r="H76" s="106" t="s">
        <v>5</v>
      </c>
      <c r="I76" s="106" t="s">
        <v>6</v>
      </c>
      <c r="J76" s="107"/>
      <c r="K76" s="169"/>
      <c r="N76" s="34"/>
      <c r="O76" s="34"/>
    </row>
    <row r="77" spans="1:15" ht="21.75" customHeight="1" thickBot="1" x14ac:dyDescent="0.25">
      <c r="A77" s="67" t="s">
        <v>14</v>
      </c>
      <c r="B77" s="238" t="s">
        <v>158</v>
      </c>
      <c r="C77" s="208"/>
      <c r="D77" s="208" t="s">
        <v>129</v>
      </c>
      <c r="E77" s="271">
        <v>7</v>
      </c>
      <c r="F77" s="208"/>
      <c r="G77" s="208">
        <v>2982.18</v>
      </c>
      <c r="H77" s="208">
        <f>G77*32.7/100</f>
        <v>975.17286000000013</v>
      </c>
      <c r="I77" s="208">
        <f>G77+H77</f>
        <v>3957.35286</v>
      </c>
      <c r="J77" s="108" t="s">
        <v>22</v>
      </c>
      <c r="K77" s="167"/>
    </row>
    <row r="78" spans="1:15" ht="15.75" customHeight="1" thickBot="1" x14ac:dyDescent="0.25">
      <c r="A78" s="226"/>
      <c r="B78" s="228"/>
      <c r="C78" s="229"/>
      <c r="D78" s="230"/>
      <c r="E78" s="231"/>
      <c r="F78" s="231"/>
      <c r="G78" s="232"/>
      <c r="H78" s="232"/>
      <c r="I78" s="233"/>
      <c r="J78" s="234"/>
      <c r="K78" s="167"/>
    </row>
    <row r="79" spans="1:15" ht="21" customHeight="1" x14ac:dyDescent="0.2">
      <c r="A79" s="227"/>
      <c r="B79" s="104" t="s">
        <v>0</v>
      </c>
      <c r="C79" s="105" t="s">
        <v>33</v>
      </c>
      <c r="D79" s="104"/>
      <c r="E79" s="104" t="s">
        <v>34</v>
      </c>
      <c r="F79" s="104" t="s">
        <v>36</v>
      </c>
      <c r="G79" s="106" t="s">
        <v>4</v>
      </c>
      <c r="H79" s="106" t="s">
        <v>5</v>
      </c>
      <c r="I79" s="106" t="s">
        <v>6</v>
      </c>
      <c r="J79" s="108"/>
      <c r="K79" s="167"/>
    </row>
    <row r="80" spans="1:15" ht="15.75" customHeight="1" x14ac:dyDescent="0.2">
      <c r="A80" s="145" t="s">
        <v>16</v>
      </c>
      <c r="B80" s="216" t="s">
        <v>162</v>
      </c>
      <c r="C80" s="217" t="s">
        <v>17</v>
      </c>
      <c r="D80" s="218"/>
      <c r="E80" s="219"/>
      <c r="F80" s="219"/>
      <c r="G80" s="220">
        <v>1200</v>
      </c>
      <c r="H80" s="220">
        <f>G80*32.7/100</f>
        <v>392.4</v>
      </c>
      <c r="I80" s="221">
        <f>G80+H80</f>
        <v>1592.4</v>
      </c>
      <c r="J80" s="108" t="s">
        <v>22</v>
      </c>
      <c r="K80" s="167"/>
    </row>
    <row r="81" spans="1:15" ht="15.75" customHeight="1" x14ac:dyDescent="0.2">
      <c r="A81" s="145" t="s">
        <v>16</v>
      </c>
      <c r="B81" s="216" t="s">
        <v>163</v>
      </c>
      <c r="C81" s="217" t="s">
        <v>82</v>
      </c>
      <c r="D81" s="218"/>
      <c r="E81" s="219"/>
      <c r="F81" s="219"/>
      <c r="G81" s="220">
        <v>617.27</v>
      </c>
      <c r="H81" s="220">
        <f>G81*32.7/100</f>
        <v>201.84728999999999</v>
      </c>
      <c r="I81" s="221">
        <f>G81+H81</f>
        <v>819.11728999999991</v>
      </c>
      <c r="J81" s="108" t="s">
        <v>22</v>
      </c>
      <c r="K81" s="167"/>
    </row>
    <row r="82" spans="1:15" ht="15.75" customHeight="1" thickBot="1" x14ac:dyDescent="0.25">
      <c r="A82" s="146"/>
      <c r="B82" s="225" t="s">
        <v>114</v>
      </c>
      <c r="C82" s="222"/>
      <c r="D82" s="223"/>
      <c r="E82" s="222"/>
      <c r="F82" s="222"/>
      <c r="G82" s="224">
        <f>SUM(G80:G81)</f>
        <v>1817.27</v>
      </c>
      <c r="H82" s="224">
        <f t="shared" ref="H82:I82" si="19">SUM(H80:H81)</f>
        <v>594.24729000000002</v>
      </c>
      <c r="I82" s="224">
        <f t="shared" si="19"/>
        <v>2411.5172899999998</v>
      </c>
      <c r="J82" s="108" t="s">
        <v>22</v>
      </c>
      <c r="K82" s="167"/>
    </row>
    <row r="83" spans="1:15" ht="16.5" customHeight="1" x14ac:dyDescent="0.2">
      <c r="A83" s="185" t="s">
        <v>113</v>
      </c>
      <c r="B83" s="111"/>
      <c r="C83" s="95"/>
      <c r="D83" s="96"/>
      <c r="E83" s="95"/>
      <c r="F83" s="95"/>
      <c r="G83" s="112"/>
      <c r="H83" s="112"/>
      <c r="I83" s="112"/>
      <c r="J83" s="116"/>
      <c r="K83" s="167"/>
    </row>
    <row r="84" spans="1:15" s="13" customFormat="1" ht="20.25" customHeight="1" x14ac:dyDescent="0.2">
      <c r="A84" s="113"/>
      <c r="B84" s="28" t="s">
        <v>0</v>
      </c>
      <c r="C84" s="14" t="s">
        <v>1</v>
      </c>
      <c r="D84" s="14"/>
      <c r="E84" s="14"/>
      <c r="F84" s="14"/>
      <c r="G84" s="30" t="s">
        <v>4</v>
      </c>
      <c r="H84" s="30" t="s">
        <v>5</v>
      </c>
      <c r="I84" s="30" t="s">
        <v>6</v>
      </c>
      <c r="J84" s="117"/>
      <c r="K84" s="170"/>
      <c r="N84" s="73"/>
      <c r="O84" s="73"/>
    </row>
    <row r="85" spans="1:15" ht="17.25" customHeight="1" x14ac:dyDescent="0.2">
      <c r="A85" s="98" t="s">
        <v>14</v>
      </c>
      <c r="B85" s="19" t="s">
        <v>20</v>
      </c>
      <c r="C85" s="4" t="s">
        <v>24</v>
      </c>
      <c r="D85" s="7"/>
      <c r="E85" s="25"/>
      <c r="F85" s="5"/>
      <c r="G85" s="29">
        <v>2913.92</v>
      </c>
      <c r="H85" s="29">
        <f>G85*32.7/100</f>
        <v>952.85184000000004</v>
      </c>
      <c r="I85" s="29">
        <f>G85+H85+0.02</f>
        <v>3866.7918400000003</v>
      </c>
      <c r="J85" s="118" t="s">
        <v>22</v>
      </c>
      <c r="K85" s="168"/>
      <c r="M85" s="24"/>
    </row>
    <row r="86" spans="1:15" ht="17.25" customHeight="1" x14ac:dyDescent="0.2">
      <c r="A86" s="98" t="s">
        <v>14</v>
      </c>
      <c r="B86" s="19" t="s">
        <v>21</v>
      </c>
      <c r="C86" s="4">
        <v>1</v>
      </c>
      <c r="D86" s="7"/>
      <c r="E86" s="4"/>
      <c r="F86" s="5"/>
      <c r="G86" s="29">
        <v>384.6</v>
      </c>
      <c r="H86" s="29">
        <f>G86*32.7/100</f>
        <v>125.76420000000002</v>
      </c>
      <c r="I86" s="29">
        <f>G86+H86</f>
        <v>510.36420000000004</v>
      </c>
      <c r="J86" s="118" t="s">
        <v>22</v>
      </c>
      <c r="K86" s="168"/>
    </row>
    <row r="87" spans="1:15" ht="17.25" customHeight="1" x14ac:dyDescent="0.2">
      <c r="A87" s="98" t="s">
        <v>14</v>
      </c>
      <c r="B87" s="19" t="s">
        <v>152</v>
      </c>
      <c r="C87" s="4" t="s">
        <v>24</v>
      </c>
      <c r="D87" s="7"/>
      <c r="E87" s="4"/>
      <c r="F87" s="5"/>
      <c r="G87" s="29">
        <v>788.31</v>
      </c>
      <c r="H87" s="29">
        <f>G87*32.7/100</f>
        <v>257.77737000000002</v>
      </c>
      <c r="I87" s="29">
        <f>G87+H87</f>
        <v>1046.08737</v>
      </c>
      <c r="J87" s="118" t="s">
        <v>22</v>
      </c>
      <c r="K87" s="168"/>
    </row>
    <row r="88" spans="1:15" ht="12" customHeight="1" x14ac:dyDescent="0.2">
      <c r="A88" s="9" t="s">
        <v>14</v>
      </c>
      <c r="B88" s="28" t="s">
        <v>168</v>
      </c>
      <c r="C88" s="4"/>
      <c r="D88" s="197"/>
      <c r="E88" s="198"/>
      <c r="F88" s="199"/>
      <c r="G88" s="200"/>
      <c r="H88" s="200"/>
      <c r="I88" s="200"/>
      <c r="J88" s="118"/>
      <c r="K88" s="168"/>
    </row>
    <row r="89" spans="1:15" s="27" customFormat="1" ht="12" customHeight="1" thickBot="1" x14ac:dyDescent="0.25">
      <c r="A89" s="114"/>
      <c r="B89" s="109"/>
      <c r="C89" s="115"/>
      <c r="D89" s="202" t="s">
        <v>23</v>
      </c>
      <c r="E89" s="203"/>
      <c r="F89" s="204"/>
      <c r="G89" s="205">
        <f>SUM(G85:G88)</f>
        <v>4086.83</v>
      </c>
      <c r="H89" s="205">
        <f>SUM(H85:H86)+H87</f>
        <v>1336.3934100000001</v>
      </c>
      <c r="I89" s="205">
        <f>SUM(I85:I88)</f>
        <v>5423.2434100000009</v>
      </c>
      <c r="J89" s="196"/>
      <c r="K89" s="169"/>
      <c r="N89" s="34"/>
      <c r="O89" s="34"/>
    </row>
    <row r="90" spans="1:15" s="27" customFormat="1" ht="15.75" customHeight="1" thickBot="1" x14ac:dyDescent="0.3">
      <c r="A90" s="186"/>
      <c r="B90" s="318" t="s">
        <v>78</v>
      </c>
      <c r="C90" s="318"/>
      <c r="D90" s="318"/>
      <c r="E90" s="318"/>
      <c r="F90" s="318"/>
      <c r="G90" s="263">
        <f>G74+G82+G89+G77</f>
        <v>59727.679999999993</v>
      </c>
      <c r="H90" s="263">
        <f>H74+H82+H89+H77</f>
        <v>19530.951360000003</v>
      </c>
      <c r="I90" s="263">
        <f>I74+I82+I89+I77</f>
        <v>79258.651360000003</v>
      </c>
      <c r="J90" s="196"/>
      <c r="N90" s="34"/>
      <c r="O90" s="34"/>
    </row>
    <row r="91" spans="1:15" ht="2.25" customHeight="1" x14ac:dyDescent="0.2">
      <c r="G91" s="34"/>
      <c r="H91" s="34"/>
      <c r="I91" s="34"/>
    </row>
    <row r="92" spans="1:15" x14ac:dyDescent="0.2">
      <c r="C92" s="8"/>
      <c r="E92" s="309" t="s">
        <v>141</v>
      </c>
      <c r="F92" s="309"/>
      <c r="G92" s="282">
        <f>57675.43-G90</f>
        <v>-2052.2499999999927</v>
      </c>
    </row>
    <row r="93" spans="1:15" x14ac:dyDescent="0.2">
      <c r="B93" s="278" t="s">
        <v>178</v>
      </c>
      <c r="C93" s="2"/>
      <c r="D93" s="2"/>
      <c r="E93" s="2"/>
      <c r="F93" s="2"/>
      <c r="G93" s="267">
        <f>G42+G68</f>
        <v>3742.9000000000005</v>
      </c>
    </row>
  </sheetData>
  <mergeCells count="6">
    <mergeCell ref="E92:F92"/>
    <mergeCell ref="B1:B2"/>
    <mergeCell ref="C3:E3"/>
    <mergeCell ref="K5:K11"/>
    <mergeCell ref="E46:I46"/>
    <mergeCell ref="B90:F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fis con ore</vt:lpstr>
      <vt:lpstr>da allegare a contratto</vt:lpstr>
      <vt:lpstr>ata</vt:lpstr>
      <vt:lpstr>fis forfait</vt:lpstr>
      <vt:lpstr>simulazione importi nuovi</vt:lpstr>
      <vt:lpstr>Foglio2</vt:lpstr>
      <vt:lpstr>'da allegare a contratto'!Area_stampa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2014-04-03T10:10:18Z</cp:lastPrinted>
  <dcterms:created xsi:type="dcterms:W3CDTF">2006-09-25T09:17:32Z</dcterms:created>
  <dcterms:modified xsi:type="dcterms:W3CDTF">2024-07-19T10:09:11Z</dcterms:modified>
</cp:coreProperties>
</file>