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1 - DSGA\_DSGA DE BONIS\CONTRATTAZIONE\25 26\2CONTRATTO_lavorazione x primo incontro\"/>
    </mc:Choice>
  </mc:AlternateContent>
  <bookViews>
    <workbookView xWindow="0" yWindow="0" windowWidth="16380" windowHeight="8190" tabRatio="905"/>
  </bookViews>
  <sheets>
    <sheet name="MOF DISPONIBILE" sheetId="1" r:id="rId1"/>
    <sheet name="DISTRIBUZIONE DOC" sheetId="2" r:id="rId2"/>
    <sheet name="DISTRIBUZIONE OE" sheetId="6" r:id="rId3"/>
    <sheet name="DISTRIBUZIONE ATA" sheetId="4" r:id="rId4"/>
    <sheet name="CALCOLO INDENNITÀ DSGA" sheetId="7" r:id="rId5"/>
    <sheet name="CALCOLO COORD DI PLESSO" sheetId="8" r:id="rId6"/>
    <sheet name="CALCOLO DOCENTI SCUOLA SICURA" sheetId="10" r:id="rId7"/>
    <sheet name="DISTRIBUZIONE PROGETTI PLESSI" sheetId="9" r:id="rId8"/>
    <sheet name="CALCOLO ATA CS COLLABOR CON DOC" sheetId="11" r:id="rId9"/>
  </sheets>
  <definedNames>
    <definedName name="_MOF">#NAME?</definedName>
  </definedNames>
  <calcPr calcId="162913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P12" i="1" l="1"/>
  <c r="L34" i="1"/>
  <c r="O10" i="1"/>
  <c r="P10" i="1" s="1"/>
  <c r="O11" i="1"/>
  <c r="L12" i="1"/>
  <c r="B23" i="7" l="1"/>
  <c r="B26" i="7"/>
  <c r="B44" i="2"/>
  <c r="B67" i="2" l="1"/>
  <c r="D6" i="2" s="1"/>
  <c r="E65" i="2"/>
  <c r="E66" i="2"/>
  <c r="D55" i="4" l="1"/>
  <c r="D54" i="4"/>
  <c r="C4" i="4"/>
  <c r="B53" i="4"/>
  <c r="B45" i="4"/>
  <c r="C5" i="4" l="1"/>
  <c r="D43" i="4" l="1"/>
  <c r="B45" i="2" l="1"/>
  <c r="E43" i="2"/>
  <c r="E42" i="2"/>
  <c r="E14" i="2"/>
  <c r="E15" i="2"/>
  <c r="E16" i="2"/>
  <c r="K6" i="11"/>
  <c r="B38" i="4"/>
  <c r="B35" i="4"/>
  <c r="D34" i="4"/>
  <c r="C6" i="6"/>
  <c r="C5" i="6"/>
  <c r="C4" i="6"/>
  <c r="I6" i="6"/>
  <c r="I5" i="6"/>
  <c r="I4" i="6"/>
  <c r="B52" i="2" l="1"/>
  <c r="D4" i="2" s="1"/>
  <c r="E51" i="2"/>
  <c r="E50" i="2"/>
  <c r="E49" i="2"/>
  <c r="K16" i="1"/>
  <c r="J16" i="1"/>
  <c r="I16" i="1"/>
  <c r="G16" i="1"/>
  <c r="F16" i="1"/>
  <c r="D16" i="1"/>
  <c r="C16" i="1"/>
  <c r="P11" i="1" l="1"/>
  <c r="L7" i="1"/>
  <c r="L8" i="1"/>
  <c r="M6" i="1" l="1"/>
  <c r="C6" i="1"/>
  <c r="C9" i="1" s="1"/>
  <c r="C13" i="1" s="1"/>
  <c r="E6" i="1"/>
  <c r="E9" i="1" s="1"/>
  <c r="E13" i="1" s="1"/>
  <c r="F6" i="1"/>
  <c r="G6" i="1"/>
  <c r="H6" i="1"/>
  <c r="H9" i="1" s="1"/>
  <c r="H13" i="1" s="1"/>
  <c r="I6" i="1"/>
  <c r="I9" i="1" s="1"/>
  <c r="I13" i="1" s="1"/>
  <c r="B6" i="1"/>
  <c r="K6" i="1"/>
  <c r="J6" i="1"/>
  <c r="M4" i="1"/>
  <c r="D4" i="1"/>
  <c r="D6" i="1" s="1"/>
  <c r="D9" i="1" s="1"/>
  <c r="D13" i="1" s="1"/>
  <c r="F9" i="1" l="1"/>
  <c r="F13" i="1" s="1"/>
  <c r="F11" i="1"/>
  <c r="L11" i="1" s="1"/>
  <c r="M11" i="1" s="1"/>
  <c r="J9" i="1"/>
  <c r="J13" i="1" s="1"/>
  <c r="J29" i="1" s="1"/>
  <c r="J36" i="1" s="1"/>
  <c r="C2" i="6" s="1"/>
  <c r="C12" i="6" s="1"/>
  <c r="K9" i="1"/>
  <c r="B9" i="1"/>
  <c r="G9" i="1"/>
  <c r="G13" i="1" s="1"/>
  <c r="G29" i="1" s="1"/>
  <c r="G36" i="1" s="1"/>
  <c r="B4" i="4" s="1"/>
  <c r="D4" i="4" s="1"/>
  <c r="I29" i="1"/>
  <c r="I36" i="1" s="1"/>
  <c r="H29" i="1"/>
  <c r="H36" i="1" s="1"/>
  <c r="B5" i="4" s="1"/>
  <c r="D29" i="1"/>
  <c r="D36" i="1" s="1"/>
  <c r="F29" i="1"/>
  <c r="F36" i="1" s="1"/>
  <c r="B3" i="4" s="1"/>
  <c r="E29" i="1"/>
  <c r="E36" i="1" s="1"/>
  <c r="C4" i="2" s="1"/>
  <c r="E4" i="2" s="1"/>
  <c r="L6" i="1"/>
  <c r="L9" i="1" s="1"/>
  <c r="B10" i="1" l="1"/>
  <c r="L10" i="1" s="1"/>
  <c r="M10" i="1" s="1"/>
  <c r="B13" i="1"/>
  <c r="B29" i="1" s="1"/>
  <c r="K13" i="1"/>
  <c r="K29" i="1" s="1"/>
  <c r="K36" i="1" s="1"/>
  <c r="C6" i="2" s="1"/>
  <c r="C29" i="1"/>
  <c r="C36" i="1" s="1"/>
  <c r="C5" i="2" s="1"/>
  <c r="N6" i="1"/>
  <c r="B36" i="1" l="1"/>
  <c r="C3" i="2" s="1"/>
  <c r="L13" i="1"/>
  <c r="B4" i="8"/>
  <c r="K7" i="8"/>
  <c r="B3" i="8" s="1"/>
  <c r="D44" i="4" l="1"/>
  <c r="D5" i="4" l="1"/>
  <c r="J7" i="11" l="1"/>
  <c r="B27" i="4" s="1"/>
  <c r="D27" i="4" s="1"/>
  <c r="C2" i="9"/>
  <c r="B7" i="11" l="1"/>
  <c r="B19" i="4" s="1"/>
  <c r="D7" i="11"/>
  <c r="B21" i="4" s="1"/>
  <c r="D21" i="4" s="1"/>
  <c r="C7" i="11"/>
  <c r="B20" i="4" s="1"/>
  <c r="D20" i="4" s="1"/>
  <c r="E7" i="11"/>
  <c r="B22" i="4" s="1"/>
  <c r="D22" i="4" s="1"/>
  <c r="F7" i="11"/>
  <c r="B23" i="4" s="1"/>
  <c r="D23" i="4" s="1"/>
  <c r="G7" i="11"/>
  <c r="B24" i="4" s="1"/>
  <c r="D24" i="4" s="1"/>
  <c r="H7" i="11"/>
  <c r="B25" i="4" s="1"/>
  <c r="D25" i="4" s="1"/>
  <c r="I7" i="11"/>
  <c r="B26" i="4" s="1"/>
  <c r="D26" i="4" s="1"/>
  <c r="K6" i="10"/>
  <c r="J7" i="10" s="1"/>
  <c r="B40" i="2" s="1"/>
  <c r="E40" i="2" s="1"/>
  <c r="K8" i="8"/>
  <c r="B30" i="4" l="1"/>
  <c r="K7" i="11"/>
  <c r="B7" i="10"/>
  <c r="B32" i="2" s="1"/>
  <c r="E32" i="2" s="1"/>
  <c r="E9" i="8"/>
  <c r="E10" i="8" s="1"/>
  <c r="B23" i="2" s="1"/>
  <c r="F9" i="8"/>
  <c r="F10" i="8" s="1"/>
  <c r="B24" i="2" s="1"/>
  <c r="G9" i="8"/>
  <c r="G10" i="8" s="1"/>
  <c r="B25" i="2" s="1"/>
  <c r="H9" i="8"/>
  <c r="H10" i="8" s="1"/>
  <c r="B26" i="2" s="1"/>
  <c r="I9" i="8"/>
  <c r="I10" i="8" s="1"/>
  <c r="B27" i="2" s="1"/>
  <c r="J9" i="8"/>
  <c r="J10" i="8" s="1"/>
  <c r="B28" i="2" s="1"/>
  <c r="B9" i="8"/>
  <c r="B10" i="8" s="1"/>
  <c r="B20" i="2" s="1"/>
  <c r="C9" i="8"/>
  <c r="C10" i="8" s="1"/>
  <c r="B21" i="2" s="1"/>
  <c r="D9" i="8"/>
  <c r="D10" i="8" s="1"/>
  <c r="B22" i="2" s="1"/>
  <c r="C7" i="10"/>
  <c r="B33" i="2" s="1"/>
  <c r="E33" i="2" s="1"/>
  <c r="D7" i="10"/>
  <c r="B34" i="2" s="1"/>
  <c r="E34" i="2" s="1"/>
  <c r="E7" i="10"/>
  <c r="B35" i="2" s="1"/>
  <c r="E35" i="2" s="1"/>
  <c r="F7" i="10"/>
  <c r="B36" i="2" s="1"/>
  <c r="E36" i="2" s="1"/>
  <c r="G7" i="10"/>
  <c r="B37" i="2" s="1"/>
  <c r="E37" i="2" s="1"/>
  <c r="H7" i="10"/>
  <c r="B38" i="2" s="1"/>
  <c r="E38" i="2" s="1"/>
  <c r="I7" i="10"/>
  <c r="B39" i="2" s="1"/>
  <c r="E39" i="2" s="1"/>
  <c r="B46" i="2" l="1"/>
  <c r="C3" i="4"/>
  <c r="D39" i="4" s="1"/>
  <c r="D57" i="4" s="1"/>
  <c r="K9" i="8"/>
  <c r="K10" i="8" s="1"/>
  <c r="K7" i="10"/>
  <c r="D40" i="4" l="1"/>
  <c r="D58" i="4" s="1"/>
  <c r="N10" i="9"/>
  <c r="D47" i="4" l="1"/>
  <c r="D48" i="4"/>
  <c r="D49" i="4"/>
  <c r="D50" i="4"/>
  <c r="D51" i="4"/>
  <c r="D52" i="4"/>
  <c r="D42" i="4"/>
  <c r="D28" i="4"/>
  <c r="D29" i="4"/>
  <c r="D19" i="4"/>
  <c r="B15" i="4"/>
  <c r="D9" i="4"/>
  <c r="D10" i="4"/>
  <c r="D11" i="4"/>
  <c r="D12" i="4"/>
  <c r="D13" i="4"/>
  <c r="E64" i="2" l="1"/>
  <c r="C12" i="9" l="1"/>
  <c r="G12" i="9"/>
  <c r="G14" i="9" s="1"/>
  <c r="F12" i="9"/>
  <c r="F14" i="9" s="1"/>
  <c r="H12" i="9"/>
  <c r="H14" i="9" s="1"/>
  <c r="J12" i="9"/>
  <c r="J14" i="9" s="1"/>
  <c r="K12" i="9"/>
  <c r="K14" i="9" s="1"/>
  <c r="D12" i="9"/>
  <c r="D14" i="9" s="1"/>
  <c r="E12" i="9"/>
  <c r="E14" i="9" s="1"/>
  <c r="I12" i="9"/>
  <c r="I14" i="9" s="1"/>
  <c r="E6" i="2"/>
  <c r="J17" i="9" l="1"/>
  <c r="G17" i="9"/>
  <c r="C14" i="9"/>
  <c r="N12" i="9"/>
  <c r="E23" i="2"/>
  <c r="E22" i="2"/>
  <c r="E58" i="2"/>
  <c r="E59" i="2"/>
  <c r="E57" i="2"/>
  <c r="E9" i="2"/>
  <c r="E11" i="2"/>
  <c r="E12" i="2"/>
  <c r="E13" i="2"/>
  <c r="E17" i="2"/>
  <c r="E18" i="2"/>
  <c r="E29" i="2"/>
  <c r="E30" i="2"/>
  <c r="E31" i="2"/>
  <c r="B60" i="2"/>
  <c r="D5" i="2" s="1"/>
  <c r="N14" i="9" l="1"/>
  <c r="D17" i="9"/>
  <c r="N17" i="9" s="1"/>
  <c r="E26" i="2"/>
  <c r="E28" i="2"/>
  <c r="E24" i="2"/>
  <c r="E25" i="2"/>
  <c r="E27" i="2"/>
  <c r="E21" i="2"/>
  <c r="E20" i="2"/>
  <c r="D3" i="2" l="1"/>
  <c r="E3" i="2" s="1"/>
  <c r="B20" i="7"/>
  <c r="D16" i="7"/>
  <c r="D10" i="7"/>
  <c r="D9" i="7"/>
  <c r="D11" i="7" s="1"/>
  <c r="D8" i="7"/>
  <c r="D7" i="7"/>
  <c r="D6" i="7"/>
  <c r="B21" i="7" l="1"/>
  <c r="B22" i="7" s="1"/>
  <c r="B24" i="7" l="1"/>
  <c r="B28" i="7" s="1"/>
  <c r="B31" i="7" s="1"/>
  <c r="N10" i="6"/>
  <c r="E5" i="2" l="1"/>
  <c r="K12" i="6" l="1"/>
  <c r="K14" i="6" s="1"/>
  <c r="G12" i="6"/>
  <c r="G14" i="6" s="1"/>
  <c r="I12" i="6"/>
  <c r="I14" i="6" s="1"/>
  <c r="J12" i="6"/>
  <c r="J14" i="6" s="1"/>
  <c r="D12" i="6"/>
  <c r="D14" i="6" s="1"/>
  <c r="E12" i="6"/>
  <c r="E14" i="6" s="1"/>
  <c r="F12" i="6"/>
  <c r="F14" i="6" s="1"/>
  <c r="H12" i="6"/>
  <c r="H14" i="6" s="1"/>
  <c r="L29" i="1"/>
  <c r="L36" i="1" s="1"/>
  <c r="J17" i="6" l="1"/>
  <c r="D3" i="4"/>
  <c r="G17" i="6"/>
  <c r="C14" i="6"/>
  <c r="N14" i="6" s="1"/>
  <c r="N12" i="6"/>
  <c r="D17" i="6" l="1"/>
  <c r="N17" i="6" s="1"/>
  <c r="L5" i="1"/>
  <c r="L4" i="1" l="1"/>
  <c r="N4" i="1" s="1"/>
</calcChain>
</file>

<file path=xl/sharedStrings.xml><?xml version="1.0" encoding="utf-8"?>
<sst xmlns="http://schemas.openxmlformats.org/spreadsheetml/2006/main" count="360" uniqueCount="243">
  <si>
    <t>CEDOLINO UNICO - MEF</t>
  </si>
  <si>
    <t>TOTALE RISORSE A DISPOSIZIONE(economie + assegnazioni)</t>
  </si>
  <si>
    <t>TOTALI</t>
  </si>
  <si>
    <r>
      <t xml:space="preserve">ATTIVITÀ COMPLEMENTARI DI EDUCAZIONE FISICA </t>
    </r>
    <r>
      <rPr>
        <b/>
        <sz val="12"/>
        <color rgb="FFFF0000"/>
        <rFont val="Calibri"/>
        <family val="2"/>
      </rPr>
      <t>(PG12)</t>
    </r>
  </si>
  <si>
    <r>
      <t xml:space="preserve">ORE ECCEDENTI </t>
    </r>
    <r>
      <rPr>
        <b/>
        <sz val="12"/>
        <color rgb="FFFF0000"/>
        <rFont val="Calibri"/>
        <family val="2"/>
      </rPr>
      <t>(PG6)</t>
    </r>
  </si>
  <si>
    <t>DIFFERENZA +/-</t>
  </si>
  <si>
    <t>REFERENTE SIO</t>
  </si>
  <si>
    <t>REFERENTE FRIULANO</t>
  </si>
  <si>
    <t>TOTALE</t>
  </si>
  <si>
    <r>
      <t xml:space="preserve">AREA A RISCHIO </t>
    </r>
    <r>
      <rPr>
        <sz val="16"/>
        <color rgb="FFFF0000"/>
        <rFont val="Calibri"/>
        <family val="2"/>
        <charset val="1"/>
      </rPr>
      <t>€ 0,00</t>
    </r>
  </si>
  <si>
    <t>COMPENSI MOF - PARTE DOCENTI</t>
  </si>
  <si>
    <t>BUDGET</t>
  </si>
  <si>
    <t>IMPEGNO</t>
  </si>
  <si>
    <t>Totale</t>
  </si>
  <si>
    <t>FUNZIONI STRUMENTALI</t>
  </si>
  <si>
    <r>
      <t>ATTIVIT</t>
    </r>
    <r>
      <rPr>
        <b/>
        <sz val="11"/>
        <color theme="1"/>
        <rFont val="Calibri"/>
        <family val="2"/>
      </rPr>
      <t>À COMPLEMENTARI DI EDUCAZIONE FISICA</t>
    </r>
  </si>
  <si>
    <t>importo orario INFANZIA</t>
  </si>
  <si>
    <t>importo orario primaria</t>
  </si>
  <si>
    <t>importo orario secondaria</t>
  </si>
  <si>
    <t>PLESSO</t>
  </si>
  <si>
    <t>Gabelli</t>
  </si>
  <si>
    <t>S.Cuore</t>
  </si>
  <si>
    <t>Forte</t>
  </si>
  <si>
    <t>Carducci</t>
  </si>
  <si>
    <t>Girardini</t>
  </si>
  <si>
    <t>Mazzini</t>
  </si>
  <si>
    <t>Marconi</t>
  </si>
  <si>
    <t>Bellavitis</t>
  </si>
  <si>
    <t>NUMERO ALUNNI</t>
  </si>
  <si>
    <t>IMPORTO RAPPORTATO A NUMERO ALUNNI</t>
  </si>
  <si>
    <t>totale</t>
  </si>
  <si>
    <t>INFANZIA</t>
  </si>
  <si>
    <t>PRIMARIA</t>
  </si>
  <si>
    <t>SECONDARIA</t>
  </si>
  <si>
    <t>ORE RAPPORTATE A PLESSO (già arrotondate)</t>
  </si>
  <si>
    <t>spesa per controllo budget</t>
  </si>
  <si>
    <t>COMPENSI MOF - PARTE ATA</t>
  </si>
  <si>
    <t>Incarichi specifici</t>
  </si>
  <si>
    <t>Indennità di direzione al DSGA</t>
  </si>
  <si>
    <t>Misura tabellare annua lorda (€)</t>
  </si>
  <si>
    <t>Parametro base in misura fissa a decorrere dall’ 1/1/2022</t>
  </si>
  <si>
    <t xml:space="preserve">Quota variabile a carico FIS corrisposta tramite CU </t>
  </si>
  <si>
    <t>articolo 56, comma 1, ultimo periodo, del CCNL triennio 2019-2021</t>
  </si>
  <si>
    <t>n.</t>
  </si>
  <si>
    <t>a) azienda agraria</t>
  </si>
  <si>
    <t>da moltiplicare per il numero delle aziende funzionanti
presso l’istituto</t>
  </si>
  <si>
    <t>b) convitti ed educandati annessi</t>
  </si>
  <si>
    <t>da moltiplicare per il numero dei convitti e degli educandati
funzionanti presso l’istituto</t>
  </si>
  <si>
    <t xml:space="preserve">c) istituti verticalizzati ed istituti con almeno due punti di erogazione del
servizio scolastico, istituti di secondo grado aggregati ed istituti tecnici
professionali e d’arte con laboratori  e/o reparti di lavorazione
</t>
  </si>
  <si>
    <t>spettante in misura unica, indipendentemente dall’esistenza
di più situazioni di cui alla lettera c)</t>
  </si>
  <si>
    <t>d) scuole medie, scuole elementari e licei 
non rientranti nelle tipologie di cui alla lettera c)</t>
  </si>
  <si>
    <t>e) Complessità organizzativa</t>
  </si>
  <si>
    <t>valore unitario da moltiplicare per il numero del personale
docente e ATA in organico di diritto</t>
  </si>
  <si>
    <t>Totale quota variabile spettante al Dsga</t>
  </si>
  <si>
    <t>lordo dipendente</t>
  </si>
  <si>
    <t xml:space="preserve">        Indennità di direzione all'Assistente Amministrativo Vicario</t>
  </si>
  <si>
    <t>Quota mensile</t>
  </si>
  <si>
    <t>Mesi</t>
  </si>
  <si>
    <t>Quota annua</t>
  </si>
  <si>
    <t>Compenso Individuale Accessorio spettante agli A.A.</t>
  </si>
  <si>
    <t xml:space="preserve">   Determinazione dell'indenntà di direzione spettante all'A.A. Vicario</t>
  </si>
  <si>
    <t>Quota Fissa spettante al DSGA</t>
  </si>
  <si>
    <t>+</t>
  </si>
  <si>
    <t>Quota Variabile del Dsga</t>
  </si>
  <si>
    <t>=</t>
  </si>
  <si>
    <t>Totale Indennità annua di direzione DSGA</t>
  </si>
  <si>
    <t>-</t>
  </si>
  <si>
    <t>Compenso Individuale Accessoria A.A.</t>
  </si>
  <si>
    <t>Totale quota annua spettante al Vicario</t>
  </si>
  <si>
    <t>:</t>
  </si>
  <si>
    <t>Giorni in un anno</t>
  </si>
  <si>
    <t>Importo lordo giornaliero spettante</t>
  </si>
  <si>
    <t>x</t>
  </si>
  <si>
    <t>Giorni previsti per la sostituzione del DSGA</t>
  </si>
  <si>
    <t>Indennità lorda spettante all'A.A. Vicario del Dsga</t>
  </si>
  <si>
    <t>TOTALE COMPLESSIVO DA TOGLIERE DAL MOF</t>
  </si>
  <si>
    <t>REFERENTE EDUCAZIONE CIVICA</t>
  </si>
  <si>
    <t>REFERENTE ORIENTAMENTO</t>
  </si>
  <si>
    <t>COMMISSIONE BIBLIOTECA</t>
  </si>
  <si>
    <t>COORDINATORE DI PLESSO/SEDE GABELLI</t>
  </si>
  <si>
    <t>COORDINATORE DI PLESSO/SEDE FORTE</t>
  </si>
  <si>
    <t>COORDINATORE DI PLESSO/SEDE S CUORE</t>
  </si>
  <si>
    <t>COORDINATORE DI PLESSO/SEDE FRIZ</t>
  </si>
  <si>
    <t>COORDINATORE DI PLESSO/SEDE CARDUCCI</t>
  </si>
  <si>
    <t>COORDINATORE DI PLESSO/SEDE GIRARDINI</t>
  </si>
  <si>
    <t>COORDINATORE DI PLESSO/SEDE MAZZINI</t>
  </si>
  <si>
    <t>COORDINATORE DI PLESSO/SEDE BELLAVITIS</t>
  </si>
  <si>
    <t>COORDINATORE DI PLESSO/SEDE MARCONI</t>
  </si>
  <si>
    <t>COORDINATORI CONSIGLI DI CLASSE PRIMARIA</t>
  </si>
  <si>
    <t>COORDINATORI CONSIGLI DI CLASSE INFANZIA</t>
  </si>
  <si>
    <t>COORDINATORI CONSIGLI DI CLASSE SECONDARIA</t>
  </si>
  <si>
    <t>REFERENTE SPORTELLO</t>
  </si>
  <si>
    <t>COORDINATORE ATTIVITA MOTORIE SCUOLA PRIMARIA</t>
  </si>
  <si>
    <t>SECONDO COLLABORATORE DEL DS</t>
  </si>
  <si>
    <t xml:space="preserve">AREA BES </t>
  </si>
  <si>
    <t>ORE ECCEDENTI LE 40 D'OBBLIGO (ORARIO IN BASE A PRESENZE AUTORIZZATE E RENDICONTATE)</t>
  </si>
  <si>
    <t xml:space="preserve"> Progetti e attività di arricchimento dell'offerta formativa non curricolare</t>
  </si>
  <si>
    <t xml:space="preserve">ALUNNI DIVERSAMENTE ABILI </t>
  </si>
  <si>
    <t>Maggior carico lavorativo derivante dal PTOF</t>
  </si>
  <si>
    <t>ASSISTENTI AMMINISTRATIVI - ATT AGG</t>
  </si>
  <si>
    <t>COLLABORATORI SCOLASTICI - ATT AGG</t>
  </si>
  <si>
    <t>Prestazioni ore oltre l’ordinario orario di servizio</t>
  </si>
  <si>
    <t>ASSISTENTI AMMINISTRATIVI - INC SPEC</t>
  </si>
  <si>
    <t>COLLABORATORI SCOLASTICI - INC SPEC</t>
  </si>
  <si>
    <t>Assistenza alunni diversamente abili INFANZIA</t>
  </si>
  <si>
    <t>Interventi di primo soccorso INFANZIA</t>
  </si>
  <si>
    <t>Assistenza alunni diversamente abili PRIMARIA</t>
  </si>
  <si>
    <t>Interventi di primo soccorso PRIMARIA</t>
  </si>
  <si>
    <t>Assistenza alunni diversamente abili SECONDARIA</t>
  </si>
  <si>
    <t>Interventi di primo soccorso SECONDARIA</t>
  </si>
  <si>
    <t>Prestazioni oltre l’ordinario orario di servizio e intensificazioni</t>
  </si>
  <si>
    <t>Personale coinvolto</t>
  </si>
  <si>
    <t>Totale pro capite</t>
  </si>
  <si>
    <t>Quota del budget riferita all'incarico</t>
  </si>
  <si>
    <t>------</t>
  </si>
  <si>
    <r>
      <t>ATTIVIT</t>
    </r>
    <r>
      <rPr>
        <sz val="11"/>
        <color theme="1"/>
        <rFont val="Calibri"/>
        <family val="2"/>
      </rPr>
      <t>À COMPLEMENTARI DI EDUCAZIONE FISICA</t>
    </r>
  </si>
  <si>
    <t>DIFFERENZA</t>
  </si>
  <si>
    <t>TOTALE PRO CAPITE</t>
  </si>
  <si>
    <t>RESTO</t>
  </si>
  <si>
    <t>DISTRIBUZIONE PROGETTI NEI PLESSI</t>
  </si>
  <si>
    <t xml:space="preserve">importo orario </t>
  </si>
  <si>
    <t>totale ore</t>
  </si>
  <si>
    <t>Specificazioni</t>
  </si>
  <si>
    <t>NUMERO CLASSI</t>
  </si>
  <si>
    <t>ASSEGNAZIONE IN RAPPORTO AL NUMERO CLASSI</t>
  </si>
  <si>
    <t>REFERENTI SCUOLA SICURA/SEDE GABELLI</t>
  </si>
  <si>
    <t>REFERENTI SCUOLA SICURA/SEDE FORTE</t>
  </si>
  <si>
    <t>REFERENTI SCUOLA SICURA/SEDE S CUORE</t>
  </si>
  <si>
    <t>REFERENTI SCUOLA SICURA/SEDE FRIZ</t>
  </si>
  <si>
    <t>REFERENTI SCUOLA SICURA/SEDE CARDUCCI</t>
  </si>
  <si>
    <t>REFERENTI SCUOLA SICURA/SEDE GIRARDINI</t>
  </si>
  <si>
    <t>REFERENTI SCUOLA SICURA/SEDE MAZZINI</t>
  </si>
  <si>
    <t>REFERENTI SCUOLA SICURA/SEDE BELLAVITIS</t>
  </si>
  <si>
    <t>REFERENTI SCUOLA SICURA/SEDE MARCONI</t>
  </si>
  <si>
    <t>REFERENTE INFORMATICA PLESSO</t>
  </si>
  <si>
    <t>9 (numero di plessi) - Totale per plesso = € 100,00</t>
  </si>
  <si>
    <t>CALCOLO DOCENTI SCUOLA SICURA</t>
  </si>
  <si>
    <t>CALCOLO COORDINATORI DI PLESSO</t>
  </si>
  <si>
    <t>DISTRIBUZIONE ORE ECCEDENTI</t>
  </si>
  <si>
    <t>INTENSIFICAZIONE Sostituzione colleghi assenti nel plesso in proporzione alle effettive sostituzioni (forfait massimo 20 €)</t>
  </si>
  <si>
    <t>INTENSIFICAZIONE Sostituzione colleghi assenti in altro plesso in proporzione alle effettive sostituzioni (forfait massimo 25 €)</t>
  </si>
  <si>
    <t>CALCOLO collaborazione con docenti per attività PTOF (mensa, merende, progetto raccolta differenziata, supporto didattica generale)</t>
  </si>
  <si>
    <t>Collaborazione con docenti per attività PTOF (mensa, merende, progetto raccolta differenziata, supporto didattica generale) (in relazione al rapporto plesso/classi) - GABELLI</t>
  </si>
  <si>
    <t>Collaborazione con docenti per attività PTOF (mensa, merende, progetto raccolta differenziata, supporto didattica generale) (in relazione al rapporto plesso/classi) - S CUORE</t>
  </si>
  <si>
    <t>Collaborazione con docenti per attività PTOF (mensa, merende, progetto raccolta differenziata, supporto didattica generale) (in relazione al rapporto plesso/classi) - FORTE</t>
  </si>
  <si>
    <t>Collaborazione con docenti per attività PTOF (mensa, merende, progetto raccolta differenziata, supporto didattica generale) (in relazione al rapporto plesso/classi) - FRIZ</t>
  </si>
  <si>
    <t>Collaborazione con docenti per attività PTOF (mensa, merende, progetto raccolta differenziata, supporto didattica generale) (in relazione al rapporto plesso/classi) - CARDUCCI</t>
  </si>
  <si>
    <t>Collaborazione con docenti per attività PTOF (mensa, merende, progetto raccolta differenziata, supporto didattica generale) (in relazione al rapporto plesso/classi) - GIRARDINI</t>
  </si>
  <si>
    <t>Collaborazione con docenti per attività PTOF (mensa, merende, progetto raccolta differenziata, supporto didattica generale) (in relazione al rapporto plesso/classi) - MAZZINI</t>
  </si>
  <si>
    <t>Collaborazione con docenti per attività PTOF (mensa, merende, progetto raccolta differenziata, supporto didattica generale) (in relazione al rapporto plesso/classi) - MARCONI</t>
  </si>
  <si>
    <t>Collaborazione con docenti per attività PTOF (mensa, merende, progetto raccolta differenziata, supporto didattica generale) (in relazione al rapporto plesso/classi) - BELLAVITIS</t>
  </si>
  <si>
    <t>in relazione alle effettive sostituzioni tenuto conto del budget assegnato</t>
  </si>
  <si>
    <r>
      <rPr>
        <sz val="9"/>
        <color rgb="FF000000"/>
        <rFont val="Calibri"/>
        <family val="2"/>
      </rPr>
      <t>PERSONALE COINVOLTO</t>
    </r>
    <r>
      <rPr>
        <b/>
        <sz val="9"/>
        <color rgb="FF000000"/>
        <rFont val="Calibri"/>
        <family val="2"/>
      </rPr>
      <t xml:space="preserve"> (per i PT l'importo viene riproporzionato in relazione alle ore contrattuali di servizio)</t>
    </r>
  </si>
  <si>
    <t xml:space="preserve">Friz </t>
  </si>
  <si>
    <t>QUOTA FISSA</t>
  </si>
  <si>
    <t>TOTALE QUOTE FISSE</t>
  </si>
  <si>
    <t>BUDGET DA PROPORZIONARE</t>
  </si>
  <si>
    <t xml:space="preserve">TOTALE </t>
  </si>
  <si>
    <r>
      <t xml:space="preserve">FIS DOCENTI </t>
    </r>
    <r>
      <rPr>
        <b/>
        <sz val="12"/>
        <color theme="9"/>
        <rFont val="Calibri"/>
        <family val="2"/>
      </rPr>
      <t>(PG5)</t>
    </r>
  </si>
  <si>
    <r>
      <t xml:space="preserve">FUNZIONI STRUMENTALI </t>
    </r>
    <r>
      <rPr>
        <b/>
        <sz val="12"/>
        <color theme="9"/>
        <rFont val="Calibri"/>
        <family val="2"/>
      </rPr>
      <t>(PG5)</t>
    </r>
  </si>
  <si>
    <r>
      <t xml:space="preserve">indennita di direzione dsga + indennità di sostituzione dsga+ coll DS </t>
    </r>
    <r>
      <rPr>
        <b/>
        <sz val="12"/>
        <color theme="9"/>
        <rFont val="Calibri"/>
        <family val="2"/>
      </rPr>
      <t>(PG5)</t>
    </r>
  </si>
  <si>
    <r>
      <t xml:space="preserve">FIS ATA </t>
    </r>
    <r>
      <rPr>
        <b/>
        <sz val="12"/>
        <color theme="9"/>
        <rFont val="Calibri"/>
        <family val="2"/>
      </rPr>
      <t>(PG5)</t>
    </r>
  </si>
  <si>
    <r>
      <t xml:space="preserve">INCARICHI SPECIFICI </t>
    </r>
    <r>
      <rPr>
        <b/>
        <sz val="12"/>
        <color theme="9"/>
        <rFont val="Calibri"/>
        <family val="2"/>
      </rPr>
      <t>(PG5)</t>
    </r>
  </si>
  <si>
    <r>
      <t xml:space="preserve">AREE A RISCHIO DOC E ATA </t>
    </r>
    <r>
      <rPr>
        <b/>
        <sz val="12"/>
        <color theme="9"/>
        <rFont val="Calibri"/>
        <family val="2"/>
      </rPr>
      <t>(PG5)</t>
    </r>
  </si>
  <si>
    <t>CONTRATTATO A.S. 24/25 (economie precedenti + assegnazioni)</t>
  </si>
  <si>
    <r>
      <t xml:space="preserve">VALORIZZAZIONE DOCENTI (PG5) (inserito nel FIS, art.5, comma 5, contratto 24 25) </t>
    </r>
    <r>
      <rPr>
        <b/>
        <sz val="12"/>
        <color theme="9"/>
        <rFont val="Calibri"/>
        <family val="2"/>
      </rPr>
      <t>(PG5)</t>
    </r>
  </si>
  <si>
    <r>
      <t xml:space="preserve">VALORIZZAZIONE ATA </t>
    </r>
    <r>
      <rPr>
        <b/>
        <sz val="12"/>
        <color theme="9"/>
        <rFont val="Calibri"/>
        <family val="2"/>
      </rPr>
      <t>(PG5)</t>
    </r>
    <r>
      <rPr>
        <b/>
        <sz val="12"/>
        <color rgb="FF000000"/>
        <rFont val="Calibri"/>
        <family val="2"/>
      </rPr>
      <t>(inserito nel FIS, art.5, comma 5, contratto 24 25)</t>
    </r>
  </si>
  <si>
    <t xml:space="preserve">TOTALE LIQUIDATO A.S.24/25 </t>
  </si>
  <si>
    <t>ECONOMIE</t>
  </si>
  <si>
    <t>PRESENTE SUI PG COME IMPORTO STANZIATO/AUTORIZZATO</t>
  </si>
  <si>
    <t>EVENTUALI ALTRI FONDI ARRIVATI IN CORSO DI CONTRATTAZIONE</t>
  </si>
  <si>
    <t>TOTALE ECONOMIE</t>
  </si>
  <si>
    <t>ASSEGNAZIONI MOF 25_26</t>
  </si>
  <si>
    <t xml:space="preserve">  </t>
  </si>
  <si>
    <r>
      <t xml:space="preserve">DOCENTI (70% del contrattabile)= </t>
    </r>
    <r>
      <rPr>
        <sz val="16"/>
        <color rgb="FFFF0000"/>
        <rFont val="Calibri"/>
        <family val="2"/>
        <charset val="1"/>
      </rPr>
      <t>€ 35.903,49</t>
    </r>
  </si>
  <si>
    <r>
      <t xml:space="preserve">ATA (30% del contrattabile)= </t>
    </r>
    <r>
      <rPr>
        <sz val="16"/>
        <color rgb="FFFF0000"/>
        <rFont val="Calibri"/>
        <family val="2"/>
        <charset val="1"/>
      </rPr>
      <t>€ 15.387,21</t>
    </r>
  </si>
  <si>
    <r>
      <t xml:space="preserve">FIS  </t>
    </r>
    <r>
      <rPr>
        <sz val="16"/>
        <color rgb="FFFF0000"/>
        <rFont val="Calibri"/>
        <family val="2"/>
        <charset val="1"/>
      </rPr>
      <t xml:space="preserve">€ 61.652,75 </t>
    </r>
    <r>
      <rPr>
        <sz val="16"/>
        <rFont val="Calibri"/>
        <family val="2"/>
      </rPr>
      <t>(dedotto € 7.112,05 indennità DSGA e € 3.250,00 primo coll = 10.362,05</t>
    </r>
    <r>
      <rPr>
        <sz val="16"/>
        <color rgb="FFFF0000"/>
        <rFont val="Calibri"/>
        <family val="2"/>
        <charset val="1"/>
      </rPr>
      <t xml:space="preserve">) = € 51.290,70 </t>
    </r>
    <r>
      <rPr>
        <sz val="16"/>
        <rFont val="Calibri"/>
        <family val="2"/>
      </rPr>
      <t>(contrattabile)</t>
    </r>
  </si>
  <si>
    <r>
      <t xml:space="preserve">FUNZIONI STRUMENTALI </t>
    </r>
    <r>
      <rPr>
        <sz val="16"/>
        <color rgb="FFFF0000"/>
        <rFont val="Calibri"/>
        <family val="2"/>
        <charset val="1"/>
      </rPr>
      <t>€ 5.472,82</t>
    </r>
  </si>
  <si>
    <r>
      <t xml:space="preserve">INCARICHI SPECIFICI ATA </t>
    </r>
    <r>
      <rPr>
        <sz val="16"/>
        <color rgb="FFFF0000"/>
        <rFont val="Calibri"/>
        <family val="2"/>
        <charset val="1"/>
      </rPr>
      <t>€ 3.717,86</t>
    </r>
  </si>
  <si>
    <r>
      <t xml:space="preserve">ORE ECCEDENTI </t>
    </r>
    <r>
      <rPr>
        <sz val="16"/>
        <color rgb="FFFF0000"/>
        <rFont val="Calibri"/>
        <family val="2"/>
        <charset val="1"/>
      </rPr>
      <t>€ 3.922,56</t>
    </r>
  </si>
  <si>
    <r>
      <t>ACompl di EDUCAZIONE FISICA</t>
    </r>
    <r>
      <rPr>
        <sz val="16"/>
        <color rgb="FFFF0000"/>
        <rFont val="Calibri"/>
        <family val="2"/>
        <charset val="1"/>
      </rPr>
      <t xml:space="preserve"> €  1.736,59</t>
    </r>
  </si>
  <si>
    <r>
      <t>VALORIZZAZIONE COMPLESSIVA</t>
    </r>
    <r>
      <rPr>
        <sz val="16"/>
        <color rgb="FFFF0000"/>
        <rFont val="Calibri"/>
        <family val="2"/>
        <charset val="1"/>
      </rPr>
      <t xml:space="preserve"> € 17.014,49</t>
    </r>
  </si>
  <si>
    <r>
      <t xml:space="preserve">VALORIZZAZIONE DOCENTI (70%) </t>
    </r>
    <r>
      <rPr>
        <sz val="16"/>
        <color rgb="FFFF0000"/>
        <rFont val="Calibri"/>
        <family val="2"/>
        <charset val="1"/>
      </rPr>
      <t>€ 11.910,14</t>
    </r>
  </si>
  <si>
    <r>
      <t xml:space="preserve">VALORIZZAZIONE ATA (30%) </t>
    </r>
    <r>
      <rPr>
        <sz val="16"/>
        <color rgb="FFFF0000"/>
        <rFont val="Calibri"/>
        <family val="2"/>
        <charset val="1"/>
      </rPr>
      <t>€ 5.104,35</t>
    </r>
  </si>
  <si>
    <r>
      <t xml:space="preserve">VALORIZZAZIONE DOCENTI </t>
    </r>
    <r>
      <rPr>
        <b/>
        <sz val="12"/>
        <color theme="9"/>
        <rFont val="Calibri"/>
        <family val="2"/>
      </rPr>
      <t>(PG5)</t>
    </r>
  </si>
  <si>
    <r>
      <t xml:space="preserve">VALORIZZAZIONE ATA </t>
    </r>
    <r>
      <rPr>
        <b/>
        <sz val="12"/>
        <color theme="9"/>
        <rFont val="Calibri"/>
        <family val="2"/>
      </rPr>
      <t>(PG5)</t>
    </r>
  </si>
  <si>
    <t>TOTALE VARIATO DA INSERIRE IN CONTRATTAZIONE 25 26</t>
  </si>
  <si>
    <t>ATTIVITÀ RETRIBUITE TRAMITE VALORIZZAZIONE</t>
  </si>
  <si>
    <t>ATTIVITÀ RETRIBUITE TRAMITE FIS</t>
  </si>
  <si>
    <t>FIS</t>
  </si>
  <si>
    <t>VALORIZZAZIONE</t>
  </si>
  <si>
    <t>FUNZIONI STRUM</t>
  </si>
  <si>
    <t>AComplEDFISICA</t>
  </si>
  <si>
    <t>Budget AS 2025 2026</t>
  </si>
  <si>
    <t>STESURA ORARIO DOCENTI 25/26 SECONDARIA</t>
  </si>
  <si>
    <t>CCNL 19 21</t>
  </si>
  <si>
    <t>retr. mensile</t>
  </si>
  <si>
    <t>1/90 retribuzione mensile iniziale con EP conglobato</t>
  </si>
  <si>
    <t>1/87 retribuzione mensile iniziale con EP conglobato</t>
  </si>
  <si>
    <t>1/65 retribuzione mensile iniziale con EP conglobato</t>
  </si>
  <si>
    <r>
      <t xml:space="preserve">importo massimo da poter impiegare (pari a </t>
    </r>
    <r>
      <rPr>
        <sz val="8"/>
        <color rgb="FFFF0000"/>
        <rFont val="Calibri"/>
        <family val="2"/>
      </rPr>
      <t>210 or</t>
    </r>
    <r>
      <rPr>
        <sz val="8"/>
        <color rgb="FF000000"/>
        <rFont val="Calibri"/>
        <family val="2"/>
      </rPr>
      <t xml:space="preserve">e di docenza) </t>
    </r>
  </si>
  <si>
    <t>FIS ATA</t>
  </si>
  <si>
    <t xml:space="preserve"> Valorizzazione</t>
  </si>
  <si>
    <t>ATTIVITÀ AGGIUNTIVE TRIBUITE TRAMITE FIS</t>
  </si>
  <si>
    <t>ATTIVITÀ AGGIUNTIVE TRIBUITE TRAMITE VALORIZZAZIONE</t>
  </si>
  <si>
    <t>SITO/NUVOLA E ANIMATORE DIGITALE</t>
  </si>
  <si>
    <t>REFERENTE SOSTEGNO DI PLESSO</t>
  </si>
  <si>
    <t>REFERENTE CYBERBULLISMO</t>
  </si>
  <si>
    <t>REFERENTE CONTINUITÀ</t>
  </si>
  <si>
    <t>REFERENTE INVALSI</t>
  </si>
  <si>
    <t>COMMISSIONE PTOF</t>
  </si>
  <si>
    <t>TUTOR DOCENTI NEO ASSUNTI</t>
  </si>
  <si>
    <t>3 (numero di plessi) - Totale per plesso = € 400,00</t>
  </si>
  <si>
    <t>Importo da suddividere a seconda del personale coinvolto a livello di singolo plesso (2 plessi con 1 referenti, 1 plesso con 2 referente)</t>
  </si>
  <si>
    <t>Budget</t>
  </si>
  <si>
    <t>Friz</t>
  </si>
  <si>
    <t>Carico lavorativo area retribuzioni e acquisti. Carico lavorativo per viaggi e gite.</t>
  </si>
  <si>
    <t>Intensificazione per supporto alle attività previste nel PTOF relative all’area didattica, in collaborazione con i docenti. Supporto alle famiglie degli alunni stranieri (2 unità)</t>
  </si>
  <si>
    <t xml:space="preserve">Carico lavorativo scuola in ospedale e controlli graduatorie docenti e ata </t>
  </si>
  <si>
    <t xml:space="preserve">Carico lavorativo ufficio personale per smaltimento arretrato </t>
  </si>
  <si>
    <t xml:space="preserve">Carico lavorativo area affari generali derivante da adempimenti per elezioni e commissioni elettorali e altri adempimenti operativi (missioni di servizio al di fuori dei locali scolastici) </t>
  </si>
  <si>
    <t xml:space="preserve">Particolare complessità scuola primaria Friz e secondaria Bellavitis  (centralino, pubblico uffici, corsi, attività e progetti) </t>
  </si>
  <si>
    <t>Particolare complessità assistenza plesso Marconi</t>
  </si>
  <si>
    <t>maggior carico lavorativo derivante dalla gestione dello stato giuridico del personale a tempo indeterminato, con riferimento alla sistemazione della posizione assicurativa (passweb), incluso lo smaltimento dell’arretrato</t>
  </si>
  <si>
    <t>maggior carico lavorativo derivante dalle ricostruzioni di carriera, incluso lo smaltimento dell’arretrato</t>
  </si>
  <si>
    <t>disponibilità sostituto del DSGA su posto non vacante nelle ipotesi contemplate  dall’ art. 57, comma 1, del CCNL 2019/2021</t>
  </si>
  <si>
    <t>importo massimo da poter impiegare (pari a 53 ore)</t>
  </si>
  <si>
    <t>importo massimo in relazione al budget (pari a 60 ore)</t>
  </si>
  <si>
    <t>% AA</t>
  </si>
  <si>
    <t>% CS</t>
  </si>
  <si>
    <t>MEDIA % AA</t>
  </si>
  <si>
    <t>MEDIA % CS</t>
  </si>
  <si>
    <t>Importo da suddividere a seconda del personale coinvolto a livello di singolo plesso (1 plesso con 2 referenti, 8 plessi con 1 referente)</t>
  </si>
  <si>
    <t>REFERENTE GRUPPO SPORTIVO STUDENTESCO</t>
  </si>
  <si>
    <r>
      <t xml:space="preserve">importo massimo da poter impiegare (pari a </t>
    </r>
    <r>
      <rPr>
        <sz val="8"/>
        <color rgb="FFFF0000"/>
        <rFont val="Calibri"/>
        <family val="2"/>
      </rPr>
      <t>212 ore</t>
    </r>
    <r>
      <rPr>
        <sz val="8"/>
        <color rgb="FF000000"/>
        <rFont val="Calibri"/>
        <family val="2"/>
      </rPr>
      <t xml:space="preserve"> funzionali)</t>
    </r>
  </si>
  <si>
    <t>Importo da suddividere a seconda dell'ordine di scuola (500_infanzia 2 doc+500_pr 1 doc+500_sec_1doc)</t>
  </si>
  <si>
    <t>IMPORTO RAPPORTATO A NUMERO CLASSI</t>
  </si>
  <si>
    <t>REDISTRIBUZIONE</t>
  </si>
  <si>
    <r>
      <t xml:space="preserve">EVENTUALE REDISTRIBUZIONE ECONOMIE </t>
    </r>
    <r>
      <rPr>
        <b/>
        <sz val="18"/>
        <color theme="8"/>
        <rFont val="Calibri"/>
        <family val="2"/>
      </rPr>
      <t>DA COMUNICARE SU GESTIONE ECONOMIE E DA INSERIRE SU POS</t>
    </r>
  </si>
  <si>
    <r>
      <t xml:space="preserve"> ARROTONDAMENTO PER CALCOLO PROPORZIONE ESATTA A DUE CIFRE DECIMALI </t>
    </r>
    <r>
      <rPr>
        <b/>
        <sz val="16"/>
        <color rgb="FF000000"/>
        <rFont val="Calibri"/>
        <family val="2"/>
      </rPr>
      <t>PG5 E FIS</t>
    </r>
  </si>
  <si>
    <r>
      <t xml:space="preserve">REDISTRIBUZIONE ECONOMIE </t>
    </r>
    <r>
      <rPr>
        <b/>
        <sz val="16"/>
        <color rgb="FF000000"/>
        <rFont val="Calibri"/>
        <family val="2"/>
      </rPr>
      <t>SOLO FIS</t>
    </r>
    <r>
      <rPr>
        <sz val="16"/>
        <color rgb="FF000000"/>
        <rFont val="Calibri"/>
        <family val="2"/>
      </rPr>
      <t xml:space="preserve"> ( € 6.096,90) QUOTA DOC</t>
    </r>
  </si>
  <si>
    <r>
      <t>REDISTRIBUZIONE ECONOMIE</t>
    </r>
    <r>
      <rPr>
        <b/>
        <sz val="16"/>
        <color rgb="FF000000"/>
        <rFont val="Calibri"/>
        <family val="2"/>
      </rPr>
      <t xml:space="preserve"> SOLO FIS</t>
    </r>
    <r>
      <rPr>
        <sz val="16"/>
        <color rgb="FF000000"/>
        <rFont val="Calibri"/>
        <family val="2"/>
      </rPr>
      <t xml:space="preserve"> ( € 6.096,90) QUOTA ATA</t>
    </r>
  </si>
  <si>
    <t>49,42 % DOC  50,58 % 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</si>
</sst>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4" formatCode="_-* #,##0.00\ &quot;€&quot;_-;\-* #,##0.00\ &quot;€&quot;_-;_-* &quot;-&quot;??\ &quot;€&quot;_-;_-@_-"/>
    <numFmt numFmtId="164" formatCode="_-* #,##0.00_-;\-* #,##0.00_-;_-* \-??_-;_-@_-"/>
    <numFmt numFmtId="165" formatCode="_-* #,##0_-;\-* #,##0_-;_-* \-_-;_-@_-"/>
    <numFmt numFmtId="166" formatCode="_-* #,##0.00&quot; €&quot;_-;\-* #,##0.00&quot; €&quot;_-;_-* \-??&quot; €&quot;_-;_-@_-"/>
    <numFmt numFmtId="167" formatCode="#,##0.00&quot; €&quot;"/>
    <numFmt numFmtId="168" formatCode="&quot;€&quot;\ #,##0.00;[Red]\-&quot;€&quot;\ #,##0.00"/>
    <numFmt numFmtId="169" formatCode="0.0000%"/>
  </numFmts>
  <fonts count="60" x14ac:knownFonts="1">
    <font>
      <sz val="11"/>
      <color rgb="FF000000"/>
      <name val="Calibri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</font>
    <font>
      <b/>
      <sz val="11"/>
      <color rgb="FF000000"/>
      <name val="Calibri"/>
      <family val="2"/>
      <charset val="1"/>
    </font>
    <font>
      <b/>
      <sz val="18"/>
      <color rgb="FF000000"/>
      <name val="Calibri"/>
      <family val="2"/>
      <charset val="1"/>
    </font>
    <font>
      <sz val="16"/>
      <color rgb="FF000000"/>
      <name val="Calibri"/>
      <family val="2"/>
      <charset val="1"/>
    </font>
    <font>
      <b/>
      <sz val="18"/>
      <name val="Calibri"/>
      <family val="2"/>
      <charset val="1"/>
    </font>
    <font>
      <b/>
      <sz val="20"/>
      <color rgb="FF000000"/>
      <name val="Calibri"/>
      <family val="2"/>
      <charset val="1"/>
    </font>
    <font>
      <b/>
      <sz val="22"/>
      <color rgb="FF000000"/>
      <name val="Calibri"/>
      <family val="2"/>
      <charset val="1"/>
    </font>
    <font>
      <b/>
      <sz val="16"/>
      <color rgb="FF000000"/>
      <name val="Calibri"/>
      <family val="2"/>
      <charset val="1"/>
    </font>
    <font>
      <sz val="20"/>
      <color rgb="FF000000"/>
      <name val="Calibri"/>
      <family val="2"/>
      <charset val="1"/>
    </font>
    <font>
      <sz val="11"/>
      <color rgb="FF000000"/>
      <name val="Calibri"/>
      <family val="2"/>
    </font>
    <font>
      <b/>
      <sz val="20"/>
      <color rgb="FF000000"/>
      <name val="Calibri"/>
      <family val="2"/>
    </font>
    <font>
      <b/>
      <sz val="12"/>
      <color rgb="FF000000"/>
      <name val="Calibri"/>
      <family val="2"/>
    </font>
    <font>
      <sz val="16"/>
      <color rgb="FFFF0000"/>
      <name val="Calibri"/>
      <family val="2"/>
      <charset val="1"/>
    </font>
    <font>
      <b/>
      <sz val="12"/>
      <color rgb="FFFF0000"/>
      <name val="Calibri"/>
      <family val="2"/>
    </font>
    <font>
      <sz val="18"/>
      <color rgb="FF000000"/>
      <name val="Calibri"/>
      <family val="2"/>
    </font>
    <font>
      <sz val="20"/>
      <color rgb="FF000000"/>
      <name val="Calibri"/>
      <family val="2"/>
    </font>
    <font>
      <b/>
      <sz val="24"/>
      <color rgb="FF000000"/>
      <name val="Calibri"/>
      <family val="2"/>
    </font>
    <font>
      <sz val="16"/>
      <name val="Calibri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</font>
    <font>
      <b/>
      <sz val="18"/>
      <color theme="8"/>
      <name val="Calibri"/>
      <family val="2"/>
    </font>
    <font>
      <b/>
      <i/>
      <sz val="14"/>
      <color rgb="FF000000"/>
      <name val="Times New Roman"/>
      <family val="1"/>
    </font>
    <font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2"/>
      <color indexed="8"/>
      <name val="Calibri"/>
      <family val="2"/>
    </font>
    <font>
      <b/>
      <sz val="11"/>
      <name val="Arial"/>
      <family val="2"/>
    </font>
    <font>
      <b/>
      <sz val="10"/>
      <color indexed="8"/>
      <name val="Calibri"/>
      <family val="2"/>
    </font>
    <font>
      <b/>
      <sz val="11"/>
      <color indexed="8"/>
      <name val="Calibri"/>
      <family val="2"/>
    </font>
    <font>
      <b/>
      <sz val="9"/>
      <color indexed="8"/>
      <name val="Calibri"/>
      <family val="2"/>
    </font>
    <font>
      <b/>
      <sz val="8"/>
      <name val="Arial"/>
      <family val="2"/>
    </font>
    <font>
      <b/>
      <sz val="11"/>
      <color indexed="8"/>
      <name val="Arial"/>
      <family val="2"/>
    </font>
    <font>
      <b/>
      <sz val="12"/>
      <name val="Arial"/>
      <family val="2"/>
    </font>
    <font>
      <b/>
      <u/>
      <sz val="12"/>
      <name val="Arial"/>
      <family val="2"/>
    </font>
    <font>
      <b/>
      <sz val="16"/>
      <name val="Arial"/>
      <family val="2"/>
    </font>
    <font>
      <sz val="8"/>
      <color rgb="FF000000"/>
      <name val="Calibri"/>
      <family val="2"/>
    </font>
    <font>
      <sz val="10"/>
      <color rgb="FF000000"/>
      <name val="Calibri"/>
      <family val="2"/>
    </font>
    <font>
      <sz val="9"/>
      <color rgb="FF000000"/>
      <name val="Calibri"/>
      <family val="2"/>
    </font>
    <font>
      <sz val="11"/>
      <color rgb="FF000000"/>
      <name val="Calibri"/>
      <charset val="1"/>
    </font>
    <font>
      <sz val="11"/>
      <color theme="1"/>
      <name val="Calibri"/>
      <family val="2"/>
    </font>
    <font>
      <b/>
      <sz val="9"/>
      <color rgb="FF000000"/>
      <name val="Calibri"/>
      <family val="2"/>
    </font>
    <font>
      <b/>
      <sz val="12"/>
      <color theme="9"/>
      <name val="Calibri"/>
      <family val="2"/>
    </font>
    <font>
      <sz val="11"/>
      <color rgb="FFFF0000"/>
      <name val="Calibri"/>
      <family val="2"/>
    </font>
    <font>
      <sz val="11"/>
      <name val="Calibri"/>
      <family val="2"/>
    </font>
    <font>
      <b/>
      <sz val="18"/>
      <color rgb="FF000000"/>
      <name val="Calibri"/>
      <family val="2"/>
    </font>
    <font>
      <sz val="16"/>
      <color rgb="FF000000"/>
      <name val="Calibri"/>
      <family val="2"/>
    </font>
    <font>
      <b/>
      <sz val="16"/>
      <color rgb="FF000000"/>
      <name val="Calibri"/>
      <family val="2"/>
    </font>
    <font>
      <b/>
      <sz val="26"/>
      <color rgb="FF000000"/>
      <name val="Calibri"/>
      <family val="2"/>
    </font>
    <font>
      <b/>
      <sz val="36"/>
      <color rgb="FF000000"/>
      <name val="Calibri"/>
      <family val="2"/>
    </font>
    <font>
      <sz val="16"/>
      <color theme="9" tint="-0.499984740745262"/>
      <name val="Calibri"/>
      <family val="2"/>
      <charset val="1"/>
    </font>
    <font>
      <sz val="8"/>
      <color rgb="FFFF0000"/>
      <name val="Calibri"/>
      <family val="2"/>
    </font>
    <font>
      <sz val="10"/>
      <name val="Calibri"/>
      <family val="2"/>
    </font>
    <font>
      <sz val="20"/>
      <name val="Calibri"/>
      <family val="2"/>
      <charset val="1"/>
    </font>
  </fonts>
  <fills count="29">
    <fill>
      <patternFill patternType="none"/>
    </fill>
    <fill>
      <patternFill patternType="gray125"/>
    </fill>
    <fill>
      <patternFill patternType="solid">
        <fgColor rgb="FFFBE5D6"/>
        <bgColor rgb="FFFFF2CC"/>
      </patternFill>
    </fill>
    <fill>
      <patternFill patternType="solid">
        <fgColor rgb="FFFFF2CC"/>
        <bgColor rgb="FFFBE5D6"/>
      </patternFill>
    </fill>
    <fill>
      <patternFill patternType="solid">
        <fgColor rgb="FFF4B183"/>
        <bgColor rgb="FFF8CBAD"/>
      </patternFill>
    </fill>
    <fill>
      <patternFill patternType="solid">
        <fgColor rgb="FFA9D18E"/>
        <bgColor rgb="FFBDD7EE"/>
      </patternFill>
    </fill>
    <fill>
      <patternFill patternType="solid">
        <fgColor rgb="FFE2F0D9"/>
        <bgColor rgb="FFE7E6E6"/>
      </patternFill>
    </fill>
    <fill>
      <patternFill patternType="solid">
        <fgColor rgb="FFBDD7EE"/>
        <bgColor rgb="FFD6DCE5"/>
      </patternFill>
    </fill>
    <fill>
      <patternFill patternType="solid">
        <fgColor rgb="FFF2F2F2"/>
        <bgColor rgb="FFE7E6E6"/>
      </patternFill>
    </fill>
    <fill>
      <patternFill patternType="solid">
        <fgColor rgb="FFF8CBAD"/>
        <bgColor rgb="FFFBE5D6"/>
      </patternFill>
    </fill>
    <fill>
      <patternFill patternType="solid">
        <fgColor theme="7" tint="0.79998168889431442"/>
        <bgColor rgb="FFBDD7EE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FFF2CC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rgb="FFE7E6E6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FF"/>
        <bgColor rgb="FFEFFFEF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31"/>
      </patternFill>
    </fill>
    <fill>
      <patternFill patternType="solid">
        <fgColor theme="7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6" tint="0.79998168889431442"/>
        <bgColor rgb="FFE7E6E6"/>
      </patternFill>
    </fill>
    <fill>
      <patternFill patternType="solid">
        <fgColor theme="4" tint="0.79998168889431442"/>
        <bgColor indexed="31"/>
      </patternFill>
    </fill>
    <fill>
      <patternFill patternType="solid">
        <fgColor theme="9" tint="0.59999389629810485"/>
        <bgColor rgb="FFBDD7EE"/>
      </patternFill>
    </fill>
  </fills>
  <borders count="6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auto="1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auto="1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</borders>
  <cellStyleXfs count="9">
    <xf numFmtId="0" fontId="0" fillId="0" borderId="0"/>
    <xf numFmtId="166" fontId="13" fillId="0" borderId="0" applyBorder="0"/>
    <xf numFmtId="164" fontId="13" fillId="0" borderId="0" applyBorder="0"/>
    <xf numFmtId="164" fontId="13" fillId="0" borderId="0" applyBorder="0"/>
    <xf numFmtId="165" fontId="13" fillId="0" borderId="0" applyBorder="0"/>
    <xf numFmtId="0" fontId="3" fillId="0" borderId="0"/>
    <xf numFmtId="0" fontId="13" fillId="0" borderId="0"/>
    <xf numFmtId="166" fontId="13" fillId="0" borderId="0" applyBorder="0" applyProtection="0"/>
    <xf numFmtId="9" fontId="45" fillId="0" borderId="0" applyFont="0" applyFill="0" applyBorder="0" applyAlignment="0" applyProtection="0"/>
  </cellStyleXfs>
  <cellXfs count="330">
    <xf numFmtId="0" fontId="0" fillId="0" borderId="0" xfId="0"/>
    <xf numFmtId="0" fontId="4" fillId="2" borderId="0" xfId="0" applyFont="1" applyFill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167" fontId="0" fillId="0" borderId="0" xfId="0" applyNumberFormat="1"/>
    <xf numFmtId="167" fontId="4" fillId="0" borderId="0" xfId="0" applyNumberFormat="1" applyFont="1" applyAlignment="1">
      <alignment horizontal="center" wrapText="1"/>
    </xf>
    <xf numFmtId="167" fontId="5" fillId="0" borderId="0" xfId="0" applyNumberFormat="1" applyFont="1" applyAlignment="1">
      <alignment horizontal="center" wrapText="1"/>
    </xf>
    <xf numFmtId="0" fontId="6" fillId="10" borderId="1" xfId="0" applyFont="1" applyFill="1" applyBorder="1" applyAlignment="1">
      <alignment horizontal="center" vertical="center" wrapText="1"/>
    </xf>
    <xf numFmtId="166" fontId="12" fillId="10" borderId="1" xfId="1" applyFont="1" applyFill="1" applyBorder="1" applyAlignment="1">
      <alignment vertical="center"/>
    </xf>
    <xf numFmtId="167" fontId="14" fillId="0" borderId="0" xfId="0" applyNumberFormat="1" applyFont="1" applyAlignment="1">
      <alignment horizontal="center" vertical="center"/>
    </xf>
    <xf numFmtId="0" fontId="7" fillId="5" borderId="7" xfId="0" applyFont="1" applyFill="1" applyBorder="1"/>
    <xf numFmtId="0" fontId="7" fillId="5" borderId="8" xfId="0" applyFont="1" applyFill="1" applyBorder="1"/>
    <xf numFmtId="0" fontId="7" fillId="6" borderId="6" xfId="0" applyFont="1" applyFill="1" applyBorder="1"/>
    <xf numFmtId="0" fontId="7" fillId="5" borderId="4" xfId="0" applyFont="1" applyFill="1" applyBorder="1" applyAlignment="1">
      <alignment wrapText="1"/>
    </xf>
    <xf numFmtId="167" fontId="18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167" fontId="18" fillId="0" borderId="0" xfId="0" applyNumberFormat="1" applyFont="1" applyFill="1" applyAlignment="1">
      <alignment horizontal="center" vertical="center"/>
    </xf>
    <xf numFmtId="0" fontId="15" fillId="0" borderId="12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167" fontId="14" fillId="0" borderId="14" xfId="0" applyNumberFormat="1" applyFont="1" applyBorder="1" applyAlignment="1">
      <alignment horizontal="center" vertical="center"/>
    </xf>
    <xf numFmtId="167" fontId="14" fillId="0" borderId="15" xfId="0" applyNumberFormat="1" applyFont="1" applyBorder="1" applyAlignment="1">
      <alignment horizontal="center" vertical="center"/>
    </xf>
    <xf numFmtId="0" fontId="13" fillId="0" borderId="0" xfId="0" applyFont="1"/>
    <xf numFmtId="167" fontId="20" fillId="3" borderId="1" xfId="0" applyNumberFormat="1" applyFont="1" applyFill="1" applyBorder="1" applyAlignment="1">
      <alignment horizontal="center" vertical="center"/>
    </xf>
    <xf numFmtId="167" fontId="20" fillId="12" borderId="1" xfId="0" applyNumberFormat="1" applyFont="1" applyFill="1" applyBorder="1" applyAlignment="1">
      <alignment horizontal="center" vertical="center"/>
    </xf>
    <xf numFmtId="0" fontId="0" fillId="0" borderId="20" xfId="0" applyBorder="1"/>
    <xf numFmtId="0" fontId="0" fillId="0" borderId="0" xfId="0" applyBorder="1"/>
    <xf numFmtId="0" fontId="0" fillId="0" borderId="5" xfId="0" applyBorder="1"/>
    <xf numFmtId="166" fontId="13" fillId="0" borderId="1" xfId="1" applyBorder="1"/>
    <xf numFmtId="166" fontId="24" fillId="14" borderId="1" xfId="0" applyNumberFormat="1" applyFont="1" applyFill="1" applyBorder="1" applyAlignment="1">
      <alignment horizontal="center" vertical="center"/>
    </xf>
    <xf numFmtId="167" fontId="7" fillId="18" borderId="4" xfId="0" applyNumberFormat="1" applyFont="1" applyFill="1" applyBorder="1" applyAlignment="1">
      <alignment horizontal="center" vertical="center"/>
    </xf>
    <xf numFmtId="0" fontId="0" fillId="0" borderId="15" xfId="0" applyBorder="1"/>
    <xf numFmtId="0" fontId="26" fillId="0" borderId="0" xfId="0" applyFont="1" applyAlignment="1">
      <alignment vertical="center"/>
    </xf>
    <xf numFmtId="0" fontId="23" fillId="0" borderId="0" xfId="0" applyFont="1" applyAlignment="1">
      <alignment horizontal="center"/>
    </xf>
    <xf numFmtId="44" fontId="0" fillId="0" borderId="1" xfId="0" applyNumberFormat="1" applyBorder="1" applyAlignment="1">
      <alignment horizontal="center"/>
    </xf>
    <xf numFmtId="166" fontId="0" fillId="0" borderId="1" xfId="1" applyFont="1" applyBorder="1" applyAlignment="1">
      <alignment horizontal="center"/>
    </xf>
    <xf numFmtId="166" fontId="0" fillId="0" borderId="1" xfId="1" applyFont="1" applyBorder="1"/>
    <xf numFmtId="0" fontId="0" fillId="0" borderId="1" xfId="1" applyNumberFormat="1" applyFont="1" applyBorder="1" applyAlignment="1">
      <alignment horizontal="center"/>
    </xf>
    <xf numFmtId="166" fontId="0" fillId="0" borderId="1" xfId="1" applyFont="1" applyFill="1" applyBorder="1"/>
    <xf numFmtId="166" fontId="0" fillId="0" borderId="1" xfId="1" applyFont="1" applyFill="1" applyBorder="1" applyAlignment="1">
      <alignment horizontal="center"/>
    </xf>
    <xf numFmtId="0" fontId="0" fillId="0" borderId="1" xfId="1" applyNumberFormat="1" applyFont="1" applyFill="1" applyBorder="1" applyAlignment="1">
      <alignment horizontal="center"/>
    </xf>
    <xf numFmtId="166" fontId="0" fillId="0" borderId="7" xfId="1" applyFont="1" applyBorder="1"/>
    <xf numFmtId="0" fontId="0" fillId="0" borderId="0" xfId="1" applyNumberFormat="1" applyFont="1" applyBorder="1" applyAlignment="1">
      <alignment horizontal="center"/>
    </xf>
    <xf numFmtId="0" fontId="0" fillId="0" borderId="0" xfId="1" applyNumberFormat="1" applyFont="1" applyBorder="1"/>
    <xf numFmtId="166" fontId="28" fillId="0" borderId="10" xfId="1" applyFont="1" applyBorder="1"/>
    <xf numFmtId="166" fontId="0" fillId="0" borderId="0" xfId="1" applyFont="1" applyBorder="1"/>
    <xf numFmtId="0" fontId="23" fillId="0" borderId="7" xfId="0" applyFont="1" applyFill="1" applyBorder="1"/>
    <xf numFmtId="0" fontId="22" fillId="0" borderId="1" xfId="0" applyFont="1" applyBorder="1"/>
    <xf numFmtId="0" fontId="0" fillId="0" borderId="1" xfId="0" applyFill="1" applyBorder="1" applyAlignment="1">
      <alignment horizontal="center"/>
    </xf>
    <xf numFmtId="166" fontId="0" fillId="20" borderId="0" xfId="1" applyFont="1" applyFill="1"/>
    <xf numFmtId="166" fontId="0" fillId="0" borderId="0" xfId="1" applyFont="1"/>
    <xf numFmtId="44" fontId="0" fillId="0" borderId="0" xfId="0" applyNumberFormat="1"/>
    <xf numFmtId="1" fontId="0" fillId="11" borderId="30" xfId="0" applyNumberFormat="1" applyFill="1" applyBorder="1" applyAlignment="1">
      <alignment horizontal="center" vertical="center"/>
    </xf>
    <xf numFmtId="1" fontId="0" fillId="0" borderId="0" xfId="0" applyNumberFormat="1"/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0" fillId="0" borderId="25" xfId="0" applyBorder="1"/>
    <xf numFmtId="0" fontId="0" fillId="0" borderId="34" xfId="0" applyBorder="1"/>
    <xf numFmtId="0" fontId="0" fillId="0" borderId="35" xfId="0" applyBorder="1"/>
    <xf numFmtId="0" fontId="0" fillId="0" borderId="37" xfId="0" applyBorder="1"/>
    <xf numFmtId="0" fontId="0" fillId="0" borderId="36" xfId="0" applyBorder="1"/>
    <xf numFmtId="166" fontId="28" fillId="0" borderId="10" xfId="1" applyFont="1" applyFill="1" applyBorder="1"/>
    <xf numFmtId="0" fontId="26" fillId="0" borderId="0" xfId="0" applyFont="1" applyAlignment="1">
      <alignment horizontal="center"/>
    </xf>
    <xf numFmtId="0" fontId="27" fillId="0" borderId="0" xfId="0" applyFont="1" applyAlignment="1">
      <alignment horizontal="right"/>
    </xf>
    <xf numFmtId="44" fontId="0" fillId="0" borderId="0" xfId="0" applyNumberFormat="1" applyBorder="1" applyAlignment="1">
      <alignment horizontal="center"/>
    </xf>
    <xf numFmtId="0" fontId="0" fillId="0" borderId="12" xfId="0" applyBorder="1"/>
    <xf numFmtId="0" fontId="31" fillId="0" borderId="12" xfId="0" applyFont="1" applyFill="1" applyBorder="1" applyAlignment="1">
      <alignment horizontal="center" vertical="center"/>
    </xf>
    <xf numFmtId="1" fontId="0" fillId="0" borderId="19" xfId="0" applyNumberFormat="1" applyBorder="1" applyAlignment="1">
      <alignment wrapText="1"/>
    </xf>
    <xf numFmtId="0" fontId="0" fillId="0" borderId="19" xfId="0" applyBorder="1" applyAlignment="1">
      <alignment wrapText="1"/>
    </xf>
    <xf numFmtId="0" fontId="32" fillId="0" borderId="20" xfId="0" applyFont="1" applyBorder="1" applyAlignment="1">
      <alignment wrapText="1"/>
    </xf>
    <xf numFmtId="1" fontId="0" fillId="0" borderId="0" xfId="0" applyNumberFormat="1" applyBorder="1"/>
    <xf numFmtId="0" fontId="30" fillId="0" borderId="16" xfId="0" applyFont="1" applyBorder="1" applyAlignment="1">
      <alignment wrapText="1"/>
    </xf>
    <xf numFmtId="168" fontId="33" fillId="0" borderId="18" xfId="0" applyNumberFormat="1" applyFont="1" applyBorder="1" applyAlignment="1">
      <alignment horizontal="center" vertical="center"/>
    </xf>
    <xf numFmtId="1" fontId="30" fillId="0" borderId="0" xfId="0" applyNumberFormat="1" applyFont="1" applyBorder="1"/>
    <xf numFmtId="168" fontId="30" fillId="0" borderId="0" xfId="0" applyNumberFormat="1" applyFont="1" applyBorder="1"/>
    <xf numFmtId="0" fontId="30" fillId="0" borderId="0" xfId="0" applyFont="1" applyBorder="1"/>
    <xf numFmtId="0" fontId="30" fillId="0" borderId="20" xfId="0" applyFont="1" applyBorder="1"/>
    <xf numFmtId="0" fontId="34" fillId="0" borderId="3" xfId="0" applyFont="1" applyBorder="1" applyAlignment="1">
      <alignment horizontal="center" vertical="center" wrapText="1"/>
    </xf>
    <xf numFmtId="1" fontId="35" fillId="0" borderId="3" xfId="0" applyNumberFormat="1" applyFont="1" applyBorder="1" applyAlignment="1">
      <alignment horizontal="center" vertical="center"/>
    </xf>
    <xf numFmtId="168" fontId="35" fillId="0" borderId="3" xfId="0" applyNumberFormat="1" applyFont="1" applyBorder="1" applyAlignment="1">
      <alignment horizontal="center" vertical="center"/>
    </xf>
    <xf numFmtId="0" fontId="30" fillId="0" borderId="38" xfId="0" applyFont="1" applyBorder="1" applyAlignment="1">
      <alignment vertical="center"/>
    </xf>
    <xf numFmtId="168" fontId="33" fillId="0" borderId="24" xfId="0" applyNumberFormat="1" applyFont="1" applyBorder="1" applyAlignment="1">
      <alignment horizontal="center" vertical="center"/>
    </xf>
    <xf numFmtId="168" fontId="33" fillId="0" borderId="38" xfId="0" applyNumberFormat="1" applyFont="1" applyBorder="1" applyAlignment="1">
      <alignment horizontal="center" vertical="center"/>
    </xf>
    <xf numFmtId="0" fontId="36" fillId="0" borderId="39" xfId="0" applyFont="1" applyBorder="1" applyAlignment="1">
      <alignment vertical="center" wrapText="1"/>
    </xf>
    <xf numFmtId="0" fontId="30" fillId="0" borderId="40" xfId="0" applyFont="1" applyBorder="1" applyAlignment="1">
      <alignment vertical="center"/>
    </xf>
    <xf numFmtId="168" fontId="33" fillId="0" borderId="2" xfId="0" applyNumberFormat="1" applyFont="1" applyBorder="1" applyAlignment="1">
      <alignment horizontal="center" vertical="center"/>
    </xf>
    <xf numFmtId="168" fontId="33" fillId="0" borderId="40" xfId="0" applyNumberFormat="1" applyFont="1" applyBorder="1" applyAlignment="1">
      <alignment horizontal="center" vertical="center"/>
    </xf>
    <xf numFmtId="0" fontId="36" fillId="0" borderId="41" xfId="0" applyFont="1" applyBorder="1" applyAlignment="1">
      <alignment vertical="center" wrapText="1"/>
    </xf>
    <xf numFmtId="0" fontId="37" fillId="0" borderId="40" xfId="0" applyFont="1" applyBorder="1" applyAlignment="1">
      <alignment vertical="top" wrapText="1"/>
    </xf>
    <xf numFmtId="0" fontId="30" fillId="0" borderId="40" xfId="0" applyFont="1" applyBorder="1" applyAlignment="1">
      <alignment vertical="center" wrapText="1"/>
    </xf>
    <xf numFmtId="0" fontId="36" fillId="0" borderId="41" xfId="0" applyFont="1" applyBorder="1" applyAlignment="1">
      <alignment vertical="center"/>
    </xf>
    <xf numFmtId="0" fontId="30" fillId="0" borderId="42" xfId="0" applyFont="1" applyBorder="1" applyAlignment="1">
      <alignment vertical="center"/>
    </xf>
    <xf numFmtId="168" fontId="33" fillId="0" borderId="43" xfId="0" applyNumberFormat="1" applyFont="1" applyBorder="1" applyAlignment="1">
      <alignment horizontal="center" vertical="center"/>
    </xf>
    <xf numFmtId="168" fontId="33" fillId="0" borderId="42" xfId="0" applyNumberFormat="1" applyFont="1" applyBorder="1" applyAlignment="1">
      <alignment horizontal="center" vertical="center"/>
    </xf>
    <xf numFmtId="0" fontId="36" fillId="0" borderId="44" xfId="0" applyFont="1" applyBorder="1" applyAlignment="1">
      <alignment vertical="center" wrapText="1"/>
    </xf>
    <xf numFmtId="0" fontId="30" fillId="0" borderId="9" xfId="0" applyFont="1" applyFill="1" applyBorder="1" applyAlignment="1">
      <alignment vertical="center"/>
    </xf>
    <xf numFmtId="0" fontId="0" fillId="0" borderId="21" xfId="0" applyBorder="1"/>
    <xf numFmtId="0" fontId="35" fillId="0" borderId="14" xfId="0" applyFont="1" applyBorder="1" applyAlignment="1">
      <alignment horizontal="center" vertical="center"/>
    </xf>
    <xf numFmtId="168" fontId="38" fillId="0" borderId="15" xfId="0" applyNumberFormat="1" applyFont="1" applyBorder="1" applyAlignment="1">
      <alignment horizontal="center" vertical="center"/>
    </xf>
    <xf numFmtId="0" fontId="32" fillId="0" borderId="15" xfId="0" applyFont="1" applyFill="1" applyBorder="1" applyAlignment="1">
      <alignment vertical="center" wrapText="1"/>
    </xf>
    <xf numFmtId="0" fontId="31" fillId="0" borderId="12" xfId="0" applyFont="1" applyBorder="1" applyAlignment="1">
      <alignment horizontal="left"/>
    </xf>
    <xf numFmtId="0" fontId="0" fillId="0" borderId="19" xfId="0" applyBorder="1"/>
    <xf numFmtId="0" fontId="0" fillId="0" borderId="13" xfId="0" applyBorder="1"/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30" fillId="0" borderId="45" xfId="0" applyFont="1" applyBorder="1"/>
    <xf numFmtId="168" fontId="39" fillId="14" borderId="46" xfId="0" applyNumberFormat="1" applyFont="1" applyFill="1" applyBorder="1" applyAlignment="1">
      <alignment horizontal="center" vertical="center"/>
    </xf>
    <xf numFmtId="0" fontId="39" fillId="0" borderId="46" xfId="0" applyFont="1" applyBorder="1" applyAlignment="1">
      <alignment horizontal="center"/>
    </xf>
    <xf numFmtId="168" fontId="39" fillId="0" borderId="47" xfId="0" applyNumberFormat="1" applyFont="1" applyBorder="1" applyAlignment="1">
      <alignment horizontal="center" vertical="center"/>
    </xf>
    <xf numFmtId="0" fontId="39" fillId="0" borderId="12" xfId="0" applyFont="1" applyBorder="1" applyAlignment="1">
      <alignment horizontal="left"/>
    </xf>
    <xf numFmtId="0" fontId="39" fillId="0" borderId="48" xfId="0" applyFont="1" applyBorder="1"/>
    <xf numFmtId="168" fontId="39" fillId="0" borderId="30" xfId="0" applyNumberFormat="1" applyFont="1" applyBorder="1"/>
    <xf numFmtId="0" fontId="39" fillId="0" borderId="49" xfId="0" applyFont="1" applyBorder="1"/>
    <xf numFmtId="168" fontId="40" fillId="0" borderId="30" xfId="0" applyNumberFormat="1" applyFont="1" applyBorder="1"/>
    <xf numFmtId="0" fontId="39" fillId="0" borderId="48" xfId="0" applyFont="1" applyFill="1" applyBorder="1"/>
    <xf numFmtId="0" fontId="39" fillId="0" borderId="30" xfId="0" applyFont="1" applyBorder="1"/>
    <xf numFmtId="0" fontId="39" fillId="14" borderId="30" xfId="0" applyFont="1" applyFill="1" applyBorder="1"/>
    <xf numFmtId="0" fontId="39" fillId="0" borderId="45" xfId="0" applyFont="1" applyFill="1" applyBorder="1"/>
    <xf numFmtId="168" fontId="39" fillId="0" borderId="46" xfId="0" applyNumberFormat="1" applyFont="1" applyBorder="1"/>
    <xf numFmtId="0" fontId="39" fillId="0" borderId="47" xfId="0" applyFont="1" applyBorder="1"/>
    <xf numFmtId="0" fontId="39" fillId="16" borderId="45" xfId="0" applyFont="1" applyFill="1" applyBorder="1" applyAlignment="1">
      <alignment horizontal="right"/>
    </xf>
    <xf numFmtId="168" fontId="41" fillId="16" borderId="46" xfId="0" applyNumberFormat="1" applyFont="1" applyFill="1" applyBorder="1"/>
    <xf numFmtId="166" fontId="0" fillId="13" borderId="1" xfId="1" applyFont="1" applyFill="1" applyBorder="1"/>
    <xf numFmtId="166" fontId="0" fillId="21" borderId="1" xfId="1" applyFont="1" applyFill="1" applyBorder="1"/>
    <xf numFmtId="166" fontId="0" fillId="0" borderId="1" xfId="1" applyFont="1" applyBorder="1" applyAlignment="1"/>
    <xf numFmtId="166" fontId="0" fillId="11" borderId="1" xfId="1" applyFont="1" applyFill="1" applyBorder="1"/>
    <xf numFmtId="166" fontId="0" fillId="20" borderId="1" xfId="1" applyFont="1" applyFill="1" applyBorder="1"/>
    <xf numFmtId="166" fontId="0" fillId="22" borderId="1" xfId="1" applyFont="1" applyFill="1" applyBorder="1"/>
    <xf numFmtId="166" fontId="13" fillId="0" borderId="1" xfId="1" applyFont="1" applyBorder="1"/>
    <xf numFmtId="166" fontId="13" fillId="0" borderId="1" xfId="1" applyFont="1" applyBorder="1" applyAlignment="1">
      <alignment wrapText="1"/>
    </xf>
    <xf numFmtId="166" fontId="13" fillId="0" borderId="30" xfId="1" applyBorder="1"/>
    <xf numFmtId="0" fontId="4" fillId="19" borderId="1" xfId="0" applyFont="1" applyFill="1" applyBorder="1" applyAlignment="1">
      <alignment horizontal="center" wrapText="1"/>
    </xf>
    <xf numFmtId="0" fontId="13" fillId="0" borderId="30" xfId="0" applyFont="1" applyBorder="1"/>
    <xf numFmtId="0" fontId="4" fillId="19" borderId="1" xfId="0" applyFont="1" applyFill="1" applyBorder="1" applyAlignment="1">
      <alignment horizontal="center" vertical="center" wrapText="1"/>
    </xf>
    <xf numFmtId="49" fontId="0" fillId="0" borderId="1" xfId="1" applyNumberFormat="1" applyFont="1" applyFill="1" applyBorder="1" applyAlignment="1">
      <alignment horizontal="center"/>
    </xf>
    <xf numFmtId="49" fontId="0" fillId="0" borderId="1" xfId="0" applyNumberFormat="1" applyFill="1" applyBorder="1" applyAlignment="1">
      <alignment horizontal="center"/>
    </xf>
    <xf numFmtId="0" fontId="43" fillId="0" borderId="1" xfId="0" applyFont="1" applyFill="1" applyBorder="1" applyAlignment="1">
      <alignment wrapText="1"/>
    </xf>
    <xf numFmtId="49" fontId="13" fillId="0" borderId="1" xfId="1" applyNumberFormat="1" applyFont="1" applyFill="1" applyBorder="1" applyAlignment="1">
      <alignment horizontal="center"/>
    </xf>
    <xf numFmtId="0" fontId="44" fillId="0" borderId="1" xfId="0" applyFont="1" applyFill="1" applyBorder="1" applyAlignment="1">
      <alignment wrapText="1"/>
    </xf>
    <xf numFmtId="0" fontId="42" fillId="0" borderId="1" xfId="0" applyFont="1" applyFill="1" applyBorder="1" applyAlignment="1">
      <alignment wrapText="1"/>
    </xf>
    <xf numFmtId="0" fontId="44" fillId="0" borderId="1" xfId="0" applyFont="1" applyFill="1" applyBorder="1" applyAlignment="1">
      <alignment vertical="center" wrapText="1"/>
    </xf>
    <xf numFmtId="0" fontId="13" fillId="21" borderId="1" xfId="0" applyFont="1" applyFill="1" applyBorder="1" applyAlignment="1">
      <alignment horizontal="center"/>
    </xf>
    <xf numFmtId="0" fontId="43" fillId="0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horizontal="left" vertical="center"/>
    </xf>
    <xf numFmtId="166" fontId="0" fillId="0" borderId="0" xfId="0" applyNumberFormat="1"/>
    <xf numFmtId="0" fontId="0" fillId="0" borderId="0" xfId="0" applyAlignment="1">
      <alignment horizontal="center"/>
    </xf>
    <xf numFmtId="0" fontId="4" fillId="19" borderId="1" xfId="0" applyNumberFormat="1" applyFont="1" applyFill="1" applyBorder="1" applyAlignment="1">
      <alignment horizontal="center" wrapText="1"/>
    </xf>
    <xf numFmtId="0" fontId="0" fillId="0" borderId="0" xfId="0" applyNumberFormat="1" applyAlignment="1">
      <alignment horizontal="center"/>
    </xf>
    <xf numFmtId="0" fontId="13" fillId="0" borderId="1" xfId="1" applyNumberFormat="1" applyBorder="1" applyAlignment="1">
      <alignment horizontal="center"/>
    </xf>
    <xf numFmtId="166" fontId="0" fillId="0" borderId="7" xfId="1" applyFont="1" applyBorder="1" applyAlignment="1">
      <alignment horizontal="right"/>
    </xf>
    <xf numFmtId="0" fontId="4" fillId="19" borderId="1" xfId="0" applyFont="1" applyFill="1" applyBorder="1" applyAlignment="1">
      <alignment horizontal="center" vertical="center"/>
    </xf>
    <xf numFmtId="0" fontId="4" fillId="19" borderId="1" xfId="0" applyNumberFormat="1" applyFont="1" applyFill="1" applyBorder="1" applyAlignment="1">
      <alignment horizontal="center" vertical="center" wrapText="1"/>
    </xf>
    <xf numFmtId="0" fontId="30" fillId="23" borderId="26" xfId="0" applyFont="1" applyFill="1" applyBorder="1" applyAlignment="1">
      <alignment horizontal="center"/>
    </xf>
    <xf numFmtId="166" fontId="13" fillId="0" borderId="0" xfId="1" applyAlignment="1">
      <alignment horizontal="center"/>
    </xf>
    <xf numFmtId="0" fontId="13" fillId="0" borderId="0" xfId="0" applyFont="1" applyAlignment="1">
      <alignment horizontal="center" vertical="center"/>
    </xf>
    <xf numFmtId="0" fontId="13" fillId="0" borderId="1" xfId="1" quotePrefix="1" applyNumberFormat="1" applyBorder="1" applyAlignment="1">
      <alignment horizontal="center"/>
    </xf>
    <xf numFmtId="0" fontId="13" fillId="0" borderId="0" xfId="0" applyFont="1" applyAlignment="1">
      <alignment horizontal="center" wrapText="1"/>
    </xf>
    <xf numFmtId="0" fontId="42" fillId="0" borderId="0" xfId="0" applyFont="1" applyAlignment="1">
      <alignment horizontal="center" wrapText="1"/>
    </xf>
    <xf numFmtId="10" fontId="0" fillId="0" borderId="0" xfId="8" applyNumberFormat="1" applyFont="1"/>
    <xf numFmtId="0" fontId="2" fillId="0" borderId="1" xfId="0" applyFont="1" applyFill="1" applyBorder="1"/>
    <xf numFmtId="10" fontId="0" fillId="0" borderId="0" xfId="8" applyNumberFormat="1" applyFont="1" applyAlignment="1">
      <alignment horizontal="right" vertical="center"/>
    </xf>
    <xf numFmtId="0" fontId="0" fillId="0" borderId="0" xfId="0" applyAlignment="1">
      <alignment horizontal="right" vertical="center"/>
    </xf>
    <xf numFmtId="44" fontId="0" fillId="0" borderId="1" xfId="0" applyNumberFormat="1" applyBorder="1"/>
    <xf numFmtId="0" fontId="0" fillId="0" borderId="1" xfId="0" quotePrefix="1" applyBorder="1" applyAlignment="1">
      <alignment horizontal="center"/>
    </xf>
    <xf numFmtId="0" fontId="4" fillId="0" borderId="2" xfId="0" applyFont="1" applyFill="1" applyBorder="1" applyAlignment="1">
      <alignment horizontal="right" wrapText="1"/>
    </xf>
    <xf numFmtId="166" fontId="15" fillId="0" borderId="10" xfId="1" applyFont="1" applyBorder="1"/>
    <xf numFmtId="166" fontId="0" fillId="0" borderId="4" xfId="1" applyFont="1" applyBorder="1" applyAlignment="1"/>
    <xf numFmtId="166" fontId="13" fillId="0" borderId="1" xfId="1" applyFont="1" applyBorder="1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166" fontId="28" fillId="0" borderId="0" xfId="1" applyFont="1" applyBorder="1"/>
    <xf numFmtId="166" fontId="28" fillId="0" borderId="0" xfId="1" applyFont="1" applyFill="1" applyBorder="1"/>
    <xf numFmtId="166" fontId="42" fillId="0" borderId="1" xfId="1" applyFont="1" applyBorder="1" applyAlignment="1">
      <alignment horizontal="center" wrapText="1"/>
    </xf>
    <xf numFmtId="166" fontId="42" fillId="0" borderId="1" xfId="1" applyFont="1" applyFill="1" applyBorder="1" applyAlignment="1">
      <alignment horizontal="center" wrapText="1"/>
    </xf>
    <xf numFmtId="0" fontId="13" fillId="0" borderId="0" xfId="0" applyFont="1" applyAlignment="1">
      <alignment horizontal="center"/>
    </xf>
    <xf numFmtId="166" fontId="13" fillId="0" borderId="0" xfId="1"/>
    <xf numFmtId="166" fontId="0" fillId="18" borderId="1" xfId="1" applyFont="1" applyFill="1" applyBorder="1"/>
    <xf numFmtId="166" fontId="13" fillId="18" borderId="1" xfId="1" applyFont="1" applyFill="1" applyBorder="1"/>
    <xf numFmtId="166" fontId="13" fillId="0" borderId="1" xfId="1" applyFont="1" applyFill="1" applyBorder="1"/>
    <xf numFmtId="0" fontId="13" fillId="0" borderId="1" xfId="1" applyNumberFormat="1" applyFont="1" applyFill="1" applyBorder="1" applyAlignment="1">
      <alignment horizontal="center"/>
    </xf>
    <xf numFmtId="0" fontId="47" fillId="19" borderId="1" xfId="0" applyFont="1" applyFill="1" applyBorder="1" applyAlignment="1">
      <alignment horizontal="center" vertical="center" wrapText="1"/>
    </xf>
    <xf numFmtId="10" fontId="0" fillId="0" borderId="0" xfId="8" applyNumberFormat="1" applyFont="1" applyAlignment="1">
      <alignment horizontal="center"/>
    </xf>
    <xf numFmtId="0" fontId="30" fillId="23" borderId="50" xfId="0" applyFont="1" applyFill="1" applyBorder="1" applyAlignment="1">
      <alignment horizontal="center"/>
    </xf>
    <xf numFmtId="0" fontId="30" fillId="23" borderId="51" xfId="0" applyFont="1" applyFill="1" applyBorder="1" applyAlignment="1">
      <alignment horizontal="center"/>
    </xf>
    <xf numFmtId="0" fontId="0" fillId="0" borderId="30" xfId="0" applyBorder="1" applyAlignment="1">
      <alignment horizontal="center"/>
    </xf>
    <xf numFmtId="166" fontId="13" fillId="0" borderId="30" xfId="1" applyBorder="1" applyAlignment="1">
      <alignment horizontal="center" vertical="center"/>
    </xf>
    <xf numFmtId="166" fontId="0" fillId="0" borderId="30" xfId="0" applyNumberFormat="1" applyBorder="1" applyAlignment="1">
      <alignment horizontal="center" vertical="center"/>
    </xf>
    <xf numFmtId="0" fontId="30" fillId="23" borderId="52" xfId="0" applyFont="1" applyFill="1" applyBorder="1" applyAlignment="1">
      <alignment horizontal="center"/>
    </xf>
    <xf numFmtId="166" fontId="13" fillId="0" borderId="29" xfId="1" applyBorder="1" applyAlignment="1">
      <alignment horizontal="center" vertical="center"/>
    </xf>
    <xf numFmtId="0" fontId="13" fillId="0" borderId="30" xfId="0" applyFont="1" applyBorder="1" applyAlignment="1">
      <alignment horizontal="center" wrapText="1"/>
    </xf>
    <xf numFmtId="0" fontId="42" fillId="0" borderId="30" xfId="0" applyFont="1" applyBorder="1" applyAlignment="1">
      <alignment horizontal="center" wrapText="1"/>
    </xf>
    <xf numFmtId="10" fontId="13" fillId="0" borderId="0" xfId="8" applyNumberFormat="1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30" fillId="23" borderId="30" xfId="0" applyFont="1" applyFill="1" applyBorder="1" applyAlignment="1">
      <alignment horizontal="center"/>
    </xf>
    <xf numFmtId="0" fontId="49" fillId="0" borderId="0" xfId="0" applyFont="1"/>
    <xf numFmtId="166" fontId="50" fillId="18" borderId="1" xfId="1" applyFont="1" applyFill="1" applyBorder="1"/>
    <xf numFmtId="167" fontId="20" fillId="3" borderId="2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167" fontId="20" fillId="3" borderId="30" xfId="0" applyNumberFormat="1" applyFont="1" applyFill="1" applyBorder="1" applyAlignment="1">
      <alignment horizontal="center" vertical="center"/>
    </xf>
    <xf numFmtId="167" fontId="20" fillId="12" borderId="30" xfId="0" applyNumberFormat="1" applyFont="1" applyFill="1" applyBorder="1" applyAlignment="1">
      <alignment horizontal="center" vertical="center"/>
    </xf>
    <xf numFmtId="167" fontId="20" fillId="3" borderId="27" xfId="0" applyNumberFormat="1" applyFont="1" applyFill="1" applyBorder="1" applyAlignment="1">
      <alignment horizontal="center" vertical="center"/>
    </xf>
    <xf numFmtId="167" fontId="20" fillId="12" borderId="27" xfId="0" applyNumberFormat="1" applyFont="1" applyFill="1" applyBorder="1" applyAlignment="1">
      <alignment horizontal="center" vertical="center"/>
    </xf>
    <xf numFmtId="167" fontId="7" fillId="18" borderId="30" xfId="0" applyNumberFormat="1" applyFont="1" applyFill="1" applyBorder="1" applyAlignment="1">
      <alignment horizontal="center" vertical="center"/>
    </xf>
    <xf numFmtId="0" fontId="6" fillId="10" borderId="27" xfId="0" applyFont="1" applyFill="1" applyBorder="1" applyAlignment="1">
      <alignment horizontal="center" vertical="center" wrapText="1"/>
    </xf>
    <xf numFmtId="0" fontId="14" fillId="11" borderId="1" xfId="0" applyFont="1" applyFill="1" applyBorder="1" applyAlignment="1">
      <alignment horizontal="center" vertical="center" wrapText="1"/>
    </xf>
    <xf numFmtId="167" fontId="14" fillId="0" borderId="20" xfId="0" applyNumberFormat="1" applyFont="1" applyBorder="1" applyAlignment="1">
      <alignment horizontal="center" vertical="center"/>
    </xf>
    <xf numFmtId="167" fontId="14" fillId="0" borderId="5" xfId="0" applyNumberFormat="1" applyFont="1" applyBorder="1" applyAlignment="1">
      <alignment horizontal="center" vertical="center"/>
    </xf>
    <xf numFmtId="169" fontId="52" fillId="0" borderId="0" xfId="8" applyNumberFormat="1" applyFont="1" applyAlignment="1">
      <alignment horizontal="center" vertical="center"/>
    </xf>
    <xf numFmtId="0" fontId="6" fillId="10" borderId="53" xfId="0" applyFont="1" applyFill="1" applyBorder="1" applyAlignment="1">
      <alignment horizontal="center" vertical="center" wrapText="1"/>
    </xf>
    <xf numFmtId="167" fontId="52" fillId="25" borderId="30" xfId="0" applyNumberFormat="1" applyFont="1" applyFill="1" applyBorder="1" applyAlignment="1">
      <alignment horizontal="center" vertical="center"/>
    </xf>
    <xf numFmtId="167" fontId="52" fillId="13" borderId="49" xfId="0" applyNumberFormat="1" applyFont="1" applyFill="1" applyBorder="1" applyAlignment="1">
      <alignment horizontal="center" vertical="center"/>
    </xf>
    <xf numFmtId="167" fontId="52" fillId="13" borderId="47" xfId="0" applyNumberFormat="1" applyFont="1" applyFill="1" applyBorder="1" applyAlignment="1">
      <alignment horizontal="center" vertical="center"/>
    </xf>
    <xf numFmtId="0" fontId="14" fillId="11" borderId="16" xfId="0" applyFont="1" applyFill="1" applyBorder="1" applyAlignment="1">
      <alignment horizontal="center" vertical="center" wrapText="1"/>
    </xf>
    <xf numFmtId="167" fontId="20" fillId="12" borderId="17" xfId="0" applyNumberFormat="1" applyFont="1" applyFill="1" applyBorder="1" applyAlignment="1">
      <alignment horizontal="center" vertical="center"/>
    </xf>
    <xf numFmtId="167" fontId="55" fillId="12" borderId="10" xfId="0" applyNumberFormat="1" applyFont="1" applyFill="1" applyBorder="1" applyAlignment="1">
      <alignment horizontal="center" vertical="center"/>
    </xf>
    <xf numFmtId="166" fontId="19" fillId="0" borderId="19" xfId="1" applyFont="1" applyBorder="1"/>
    <xf numFmtId="10" fontId="18" fillId="0" borderId="19" xfId="8" applyNumberFormat="1" applyFont="1" applyBorder="1"/>
    <xf numFmtId="166" fontId="19" fillId="0" borderId="0" xfId="1" applyFont="1" applyBorder="1"/>
    <xf numFmtId="10" fontId="18" fillId="0" borderId="0" xfId="8" applyNumberFormat="1" applyFont="1" applyBorder="1"/>
    <xf numFmtId="0" fontId="52" fillId="0" borderId="14" xfId="8" applyNumberFormat="1" applyFont="1" applyBorder="1" applyAlignment="1">
      <alignment horizontal="center" vertical="center" wrapText="1"/>
    </xf>
    <xf numFmtId="0" fontId="51" fillId="26" borderId="3" xfId="0" applyFont="1" applyFill="1" applyBorder="1" applyAlignment="1">
      <alignment horizontal="center" vertical="center"/>
    </xf>
    <xf numFmtId="169" fontId="18" fillId="0" borderId="12" xfId="8" applyNumberFormat="1" applyFont="1" applyBorder="1" applyAlignment="1">
      <alignment horizontal="center"/>
    </xf>
    <xf numFmtId="169" fontId="18" fillId="0" borderId="20" xfId="8" applyNumberFormat="1" applyFont="1" applyBorder="1" applyAlignment="1">
      <alignment horizontal="center"/>
    </xf>
    <xf numFmtId="1" fontId="30" fillId="14" borderId="38" xfId="0" applyNumberFormat="1" applyFont="1" applyFill="1" applyBorder="1" applyAlignment="1">
      <alignment horizontal="center" vertical="center"/>
    </xf>
    <xf numFmtId="1" fontId="30" fillId="14" borderId="40" xfId="0" applyNumberFormat="1" applyFont="1" applyFill="1" applyBorder="1" applyAlignment="1">
      <alignment horizontal="center" vertical="center"/>
    </xf>
    <xf numFmtId="1" fontId="33" fillId="14" borderId="40" xfId="0" applyNumberFormat="1" applyFont="1" applyFill="1" applyBorder="1" applyAlignment="1">
      <alignment horizontal="center" vertical="center"/>
    </xf>
    <xf numFmtId="1" fontId="33" fillId="14" borderId="42" xfId="0" applyNumberFormat="1" applyFont="1" applyFill="1" applyBorder="1" applyAlignment="1">
      <alignment horizontal="center" vertical="center"/>
    </xf>
    <xf numFmtId="167" fontId="56" fillId="18" borderId="30" xfId="0" applyNumberFormat="1" applyFont="1" applyFill="1" applyBorder="1" applyAlignment="1">
      <alignment horizontal="center" vertical="center"/>
    </xf>
    <xf numFmtId="167" fontId="16" fillId="18" borderId="30" xfId="0" applyNumberFormat="1" applyFont="1" applyFill="1" applyBorder="1" applyAlignment="1">
      <alignment horizontal="center" vertical="center"/>
    </xf>
    <xf numFmtId="0" fontId="7" fillId="5" borderId="4" xfId="0" applyFont="1" applyFill="1" applyBorder="1" applyAlignment="1">
      <alignment horizontal="left" wrapText="1"/>
    </xf>
    <xf numFmtId="166" fontId="28" fillId="0" borderId="9" xfId="1" applyFont="1" applyBorder="1"/>
    <xf numFmtId="0" fontId="23" fillId="0" borderId="57" xfId="0" applyFont="1" applyFill="1" applyBorder="1"/>
    <xf numFmtId="0" fontId="4" fillId="19" borderId="30" xfId="0" applyFont="1" applyFill="1" applyBorder="1" applyAlignment="1">
      <alignment horizontal="center" wrapText="1"/>
    </xf>
    <xf numFmtId="0" fontId="4" fillId="19" borderId="30" xfId="0" applyNumberFormat="1" applyFont="1" applyFill="1" applyBorder="1" applyAlignment="1">
      <alignment horizontal="center" wrapText="1"/>
    </xf>
    <xf numFmtId="0" fontId="4" fillId="19" borderId="30" xfId="0" applyFont="1" applyFill="1" applyBorder="1" applyAlignment="1">
      <alignment horizontal="center" vertical="center"/>
    </xf>
    <xf numFmtId="166" fontId="13" fillId="0" borderId="30" xfId="1" applyFont="1" applyBorder="1"/>
    <xf numFmtId="166" fontId="0" fillId="0" borderId="30" xfId="1" applyFont="1" applyBorder="1"/>
    <xf numFmtId="0" fontId="0" fillId="0" borderId="30" xfId="1" applyNumberFormat="1" applyFont="1" applyBorder="1" applyAlignment="1">
      <alignment horizontal="center"/>
    </xf>
    <xf numFmtId="44" fontId="0" fillId="0" borderId="30" xfId="0" applyNumberFormat="1" applyBorder="1" applyAlignment="1">
      <alignment horizontal="center"/>
    </xf>
    <xf numFmtId="44" fontId="0" fillId="0" borderId="30" xfId="0" applyNumberFormat="1" applyBorder="1"/>
    <xf numFmtId="166" fontId="0" fillId="0" borderId="30" xfId="1" applyFont="1" applyBorder="1" applyAlignment="1">
      <alignment horizontal="center"/>
    </xf>
    <xf numFmtId="0" fontId="30" fillId="27" borderId="26" xfId="0" applyFont="1" applyFill="1" applyBorder="1" applyAlignment="1">
      <alignment horizontal="center"/>
    </xf>
    <xf numFmtId="166" fontId="50" fillId="20" borderId="1" xfId="1" applyFont="1" applyFill="1" applyBorder="1"/>
    <xf numFmtId="0" fontId="30" fillId="23" borderId="58" xfId="0" applyFont="1" applyFill="1" applyBorder="1" applyAlignment="1">
      <alignment horizontal="center"/>
    </xf>
    <xf numFmtId="166" fontId="13" fillId="0" borderId="0" xfId="1" applyFont="1"/>
    <xf numFmtId="0" fontId="4" fillId="0" borderId="59" xfId="0" applyFont="1" applyFill="1" applyBorder="1" applyAlignment="1">
      <alignment horizontal="right" wrapText="1"/>
    </xf>
    <xf numFmtId="166" fontId="15" fillId="0" borderId="0" xfId="1" applyFont="1" applyBorder="1"/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" fontId="0" fillId="0" borderId="30" xfId="0" applyNumberFormat="1" applyBorder="1" applyAlignment="1">
      <alignment horizontal="center"/>
    </xf>
    <xf numFmtId="166" fontId="0" fillId="0" borderId="60" xfId="0" applyNumberFormat="1" applyBorder="1" applyAlignment="1">
      <alignment horizontal="center"/>
    </xf>
    <xf numFmtId="166" fontId="13" fillId="0" borderId="60" xfId="1" applyBorder="1"/>
    <xf numFmtId="0" fontId="13" fillId="0" borderId="60" xfId="1" applyNumberFormat="1" applyBorder="1" applyAlignment="1">
      <alignment horizontal="center"/>
    </xf>
    <xf numFmtId="166" fontId="0" fillId="0" borderId="60" xfId="1" applyFont="1" applyFill="1" applyBorder="1"/>
    <xf numFmtId="166" fontId="13" fillId="13" borderId="1" xfId="1" applyFont="1" applyFill="1" applyBorder="1"/>
    <xf numFmtId="166" fontId="13" fillId="13" borderId="60" xfId="1" applyFont="1" applyFill="1" applyBorder="1"/>
    <xf numFmtId="166" fontId="13" fillId="21" borderId="1" xfId="1" applyFont="1" applyFill="1" applyBorder="1"/>
    <xf numFmtId="166" fontId="13" fillId="0" borderId="60" xfId="1" applyFont="1" applyBorder="1" applyAlignment="1">
      <alignment wrapText="1"/>
    </xf>
    <xf numFmtId="166" fontId="42" fillId="0" borderId="60" xfId="1" applyFont="1" applyBorder="1" applyAlignment="1">
      <alignment horizontal="center" wrapText="1"/>
    </xf>
    <xf numFmtId="0" fontId="30" fillId="23" borderId="61" xfId="0" applyFont="1" applyFill="1" applyBorder="1" applyAlignment="1">
      <alignment horizontal="center"/>
    </xf>
    <xf numFmtId="0" fontId="30" fillId="23" borderId="62" xfId="0" applyFont="1" applyFill="1" applyBorder="1" applyAlignment="1">
      <alignment horizontal="center"/>
    </xf>
    <xf numFmtId="0" fontId="30" fillId="23" borderId="57" xfId="0" applyFont="1" applyFill="1" applyBorder="1" applyAlignment="1">
      <alignment horizontal="center"/>
    </xf>
    <xf numFmtId="166" fontId="0" fillId="0" borderId="30" xfId="0" applyNumberFormat="1" applyBorder="1"/>
    <xf numFmtId="166" fontId="13" fillId="0" borderId="30" xfId="1" applyBorder="1" applyAlignment="1">
      <alignment horizontal="center"/>
    </xf>
    <xf numFmtId="166" fontId="0" fillId="0" borderId="30" xfId="0" applyNumberFormat="1" applyBorder="1" applyAlignment="1">
      <alignment horizontal="center"/>
    </xf>
    <xf numFmtId="166" fontId="4" fillId="0" borderId="30" xfId="1" applyFont="1" applyBorder="1"/>
    <xf numFmtId="0" fontId="15" fillId="0" borderId="8" xfId="0" applyFont="1" applyBorder="1" applyAlignment="1">
      <alignment horizontal="center" vertical="center" wrapText="1"/>
    </xf>
    <xf numFmtId="0" fontId="6" fillId="9" borderId="63" xfId="0" applyFont="1" applyFill="1" applyBorder="1" applyAlignment="1">
      <alignment horizontal="center" vertical="center" wrapText="1"/>
    </xf>
    <xf numFmtId="166" fontId="20" fillId="4" borderId="17" xfId="1" applyFont="1" applyFill="1" applyBorder="1" applyAlignment="1">
      <alignment horizontal="right" vertical="center"/>
    </xf>
    <xf numFmtId="166" fontId="54" fillId="4" borderId="18" xfId="1" applyFont="1" applyFill="1" applyBorder="1" applyAlignment="1">
      <alignment horizontal="right" vertical="center"/>
    </xf>
    <xf numFmtId="0" fontId="44" fillId="0" borderId="30" xfId="0" applyFont="1" applyFill="1" applyBorder="1" applyAlignment="1">
      <alignment wrapText="1"/>
    </xf>
    <xf numFmtId="0" fontId="13" fillId="0" borderId="30" xfId="1" applyNumberFormat="1" applyFont="1" applyFill="1" applyBorder="1" applyAlignment="1">
      <alignment horizontal="center"/>
    </xf>
    <xf numFmtId="0" fontId="58" fillId="0" borderId="1" xfId="0" applyFont="1" applyFill="1" applyBorder="1" applyAlignment="1">
      <alignment wrapText="1"/>
    </xf>
    <xf numFmtId="0" fontId="13" fillId="0" borderId="1" xfId="0" applyFont="1" applyFill="1" applyBorder="1"/>
    <xf numFmtId="0" fontId="50" fillId="0" borderId="1" xfId="0" applyFont="1" applyFill="1" applyBorder="1" applyAlignment="1">
      <alignment vertical="center"/>
    </xf>
    <xf numFmtId="0" fontId="13" fillId="0" borderId="0" xfId="1" applyNumberFormat="1" applyFont="1" applyFill="1" applyBorder="1" applyAlignment="1">
      <alignment horizontal="center"/>
    </xf>
    <xf numFmtId="166" fontId="0" fillId="0" borderId="0" xfId="1" applyFont="1" applyFill="1" applyBorder="1" applyAlignment="1">
      <alignment horizontal="center"/>
    </xf>
    <xf numFmtId="0" fontId="13" fillId="0" borderId="0" xfId="0" applyFont="1" applyAlignment="1">
      <alignment horizontal="right"/>
    </xf>
    <xf numFmtId="10" fontId="0" fillId="0" borderId="0" xfId="0" applyNumberFormat="1"/>
    <xf numFmtId="166" fontId="0" fillId="18" borderId="1" xfId="1" applyFont="1" applyFill="1" applyBorder="1" applyAlignment="1">
      <alignment horizontal="center"/>
    </xf>
    <xf numFmtId="167" fontId="10" fillId="7" borderId="55" xfId="0" applyNumberFormat="1" applyFont="1" applyFill="1" applyBorder="1" applyAlignment="1">
      <alignment horizontal="center" vertical="center"/>
    </xf>
    <xf numFmtId="167" fontId="10" fillId="7" borderId="5" xfId="0" applyNumberFormat="1" applyFont="1" applyFill="1" applyBorder="1" applyAlignment="1">
      <alignment horizontal="center" vertical="center"/>
    </xf>
    <xf numFmtId="167" fontId="10" fillId="7" borderId="15" xfId="0" applyNumberFormat="1" applyFont="1" applyFill="1" applyBorder="1" applyAlignment="1">
      <alignment horizontal="center" vertical="center"/>
    </xf>
    <xf numFmtId="167" fontId="10" fillId="7" borderId="56" xfId="0" applyNumberFormat="1" applyFont="1" applyFill="1" applyBorder="1" applyAlignment="1">
      <alignment horizontal="center" vertical="center"/>
    </xf>
    <xf numFmtId="167" fontId="10" fillId="7" borderId="6" xfId="0" applyNumberFormat="1" applyFont="1" applyFill="1" applyBorder="1" applyAlignment="1">
      <alignment horizontal="center" vertical="center"/>
    </xf>
    <xf numFmtId="167" fontId="10" fillId="7" borderId="9" xfId="0" applyNumberFormat="1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/>
    </xf>
    <xf numFmtId="167" fontId="9" fillId="17" borderId="11" xfId="0" applyNumberFormat="1" applyFont="1" applyFill="1" applyBorder="1" applyAlignment="1">
      <alignment horizontal="center" vertical="center"/>
    </xf>
    <xf numFmtId="167" fontId="9" fillId="8" borderId="11" xfId="0" applyNumberFormat="1" applyFont="1" applyFill="1" applyBorder="1" applyAlignment="1">
      <alignment horizontal="center" vertical="center"/>
    </xf>
    <xf numFmtId="0" fontId="11" fillId="8" borderId="10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3" fillId="15" borderId="0" xfId="0" applyFont="1" applyFill="1" applyAlignment="1">
      <alignment horizontal="center"/>
    </xf>
    <xf numFmtId="0" fontId="50" fillId="0" borderId="0" xfId="0" applyFont="1" applyAlignment="1">
      <alignment horizontal="center"/>
    </xf>
    <xf numFmtId="0" fontId="13" fillId="20" borderId="0" xfId="0" applyFont="1" applyFill="1" applyAlignment="1">
      <alignment horizontal="center"/>
    </xf>
    <xf numFmtId="0" fontId="0" fillId="20" borderId="0" xfId="0" applyFill="1" applyAlignment="1">
      <alignment horizontal="center"/>
    </xf>
    <xf numFmtId="0" fontId="0" fillId="0" borderId="0" xfId="0" applyAlignment="1">
      <alignment horizontal="center" vertical="center" wrapText="1"/>
    </xf>
    <xf numFmtId="44" fontId="0" fillId="0" borderId="30" xfId="0" applyNumberFormat="1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0" fillId="14" borderId="27" xfId="0" applyFill="1" applyBorder="1" applyAlignment="1">
      <alignment horizontal="center"/>
    </xf>
    <xf numFmtId="0" fontId="0" fillId="14" borderId="28" xfId="0" applyFill="1" applyBorder="1" applyAlignment="1">
      <alignment horizontal="center"/>
    </xf>
    <xf numFmtId="0" fontId="0" fillId="14" borderId="29" xfId="0" applyFill="1" applyBorder="1" applyAlignment="1">
      <alignment horizontal="center"/>
    </xf>
    <xf numFmtId="0" fontId="0" fillId="0" borderId="0" xfId="0" applyAlignment="1">
      <alignment horizontal="center" wrapText="1"/>
    </xf>
    <xf numFmtId="44" fontId="0" fillId="15" borderId="0" xfId="0" applyNumberFormat="1" applyFill="1" applyBorder="1" applyAlignment="1">
      <alignment horizontal="center" vertical="center"/>
    </xf>
    <xf numFmtId="44" fontId="0" fillId="15" borderId="36" xfId="0" applyNumberFormat="1" applyFill="1" applyBorder="1" applyAlignment="1">
      <alignment horizontal="center" vertical="center"/>
    </xf>
    <xf numFmtId="44" fontId="0" fillId="15" borderId="25" xfId="0" applyNumberFormat="1" applyFill="1" applyBorder="1" applyAlignment="1">
      <alignment horizontal="center" vertical="center" wrapText="1"/>
    </xf>
    <xf numFmtId="44" fontId="0" fillId="15" borderId="35" xfId="0" applyNumberFormat="1" applyFill="1" applyBorder="1" applyAlignment="1">
      <alignment horizontal="center" vertical="center" wrapText="1"/>
    </xf>
    <xf numFmtId="44" fontId="0" fillId="0" borderId="0" xfId="0" applyNumberFormat="1" applyAlignment="1">
      <alignment horizontal="center" vertical="center" wrapText="1"/>
    </xf>
    <xf numFmtId="0" fontId="43" fillId="24" borderId="0" xfId="0" applyFont="1" applyFill="1" applyAlignment="1">
      <alignment horizontal="center"/>
    </xf>
    <xf numFmtId="0" fontId="52" fillId="14" borderId="48" xfId="0" applyFont="1" applyFill="1" applyBorder="1" applyAlignment="1">
      <alignment horizontal="center" vertical="center" wrapText="1"/>
    </xf>
    <xf numFmtId="167" fontId="52" fillId="14" borderId="30" xfId="0" applyNumberFormat="1" applyFont="1" applyFill="1" applyBorder="1" applyAlignment="1">
      <alignment horizontal="center" vertical="center"/>
    </xf>
    <xf numFmtId="0" fontId="52" fillId="14" borderId="54" xfId="0" applyFont="1" applyFill="1" applyBorder="1" applyAlignment="1">
      <alignment horizontal="center" vertical="center" wrapText="1"/>
    </xf>
    <xf numFmtId="167" fontId="52" fillId="14" borderId="46" xfId="0" applyNumberFormat="1" applyFont="1" applyFill="1" applyBorder="1" applyAlignment="1">
      <alignment horizontal="center" vertical="center"/>
    </xf>
    <xf numFmtId="166" fontId="42" fillId="0" borderId="30" xfId="1" applyFont="1" applyFill="1" applyBorder="1" applyAlignment="1">
      <alignment horizontal="center" wrapText="1"/>
    </xf>
    <xf numFmtId="0" fontId="13" fillId="0" borderId="30" xfId="1" quotePrefix="1" applyNumberFormat="1" applyBorder="1" applyAlignment="1">
      <alignment horizontal="center"/>
    </xf>
    <xf numFmtId="0" fontId="1" fillId="0" borderId="30" xfId="0" applyFont="1" applyFill="1" applyBorder="1"/>
    <xf numFmtId="0" fontId="13" fillId="0" borderId="0" xfId="0" applyFont="1" applyAlignment="1">
      <alignment horizontal="center" vertical="center" wrapText="1"/>
    </xf>
    <xf numFmtId="166" fontId="59" fillId="10" borderId="1" xfId="1" applyFont="1" applyFill="1" applyBorder="1" applyAlignment="1">
      <alignment vertical="center"/>
    </xf>
    <xf numFmtId="0" fontId="52" fillId="14" borderId="20" xfId="0" applyFont="1" applyFill="1" applyBorder="1" applyAlignment="1">
      <alignment horizontal="center" vertical="center" wrapText="1"/>
    </xf>
    <xf numFmtId="167" fontId="52" fillId="14" borderId="8" xfId="0" applyNumberFormat="1" applyFont="1" applyFill="1" applyBorder="1" applyAlignment="1">
      <alignment horizontal="center" vertical="center"/>
    </xf>
    <xf numFmtId="167" fontId="52" fillId="25" borderId="8" xfId="0" applyNumberFormat="1" applyFont="1" applyFill="1" applyBorder="1" applyAlignment="1">
      <alignment horizontal="center" vertical="center"/>
    </xf>
    <xf numFmtId="167" fontId="52" fillId="13" borderId="64" xfId="0" applyNumberFormat="1" applyFont="1" applyFill="1" applyBorder="1" applyAlignment="1">
      <alignment horizontal="center" vertical="center"/>
    </xf>
    <xf numFmtId="0" fontId="9" fillId="28" borderId="30" xfId="0" applyFont="1" applyFill="1" applyBorder="1" applyAlignment="1">
      <alignment horizontal="center" vertical="center" wrapText="1"/>
    </xf>
    <xf numFmtId="167" fontId="9" fillId="11" borderId="30" xfId="0" applyNumberFormat="1" applyFont="1" applyFill="1" applyBorder="1" applyAlignment="1">
      <alignment horizontal="center" vertical="center"/>
    </xf>
    <xf numFmtId="166" fontId="19" fillId="0" borderId="13" xfId="1" applyNumberFormat="1" applyFont="1" applyBorder="1"/>
    <xf numFmtId="166" fontId="19" fillId="0" borderId="5" xfId="1" applyNumberFormat="1" applyFont="1" applyBorder="1"/>
    <xf numFmtId="166" fontId="19" fillId="0" borderId="15" xfId="1" applyNumberFormat="1" applyFont="1" applyBorder="1"/>
    <xf numFmtId="166" fontId="13" fillId="0" borderId="1" xfId="1" applyFill="1" applyBorder="1"/>
    <xf numFmtId="166" fontId="13" fillId="0" borderId="30" xfId="1" applyFill="1" applyBorder="1"/>
  </cellXfs>
  <cellStyles count="9">
    <cellStyle name="Migliaia [0] 2" xfId="4"/>
    <cellStyle name="Migliaia 3" xfId="2"/>
    <cellStyle name="Migliaia 4" xfId="3"/>
    <cellStyle name="Normale" xfId="0" builtinId="0"/>
    <cellStyle name="Normale 2" xfId="5"/>
    <cellStyle name="Normale 3" xfId="6"/>
    <cellStyle name="Percentuale" xfId="8" builtinId="5"/>
    <cellStyle name="Valuta" xfId="1" builtinId="4"/>
    <cellStyle name="Valuta 2" xfId="7"/>
  </cellStyles>
  <dxfs count="0"/>
  <tableStyles count="0" defaultTableStyle="TableStyleMedium2" defaultPivotStyle="PivotStyleLight16"/>
  <colors>
    <indexedColors>
      <rgbColor rgb="FF000000"/>
      <rgbColor rgb="FFF2F2F2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A9D18E"/>
      <rgbColor rgb="FF808080"/>
      <rgbColor rgb="FF9999FF"/>
      <rgbColor rgb="FF993366"/>
      <rgbColor rgb="FFFFF2CC"/>
      <rgbColor rgb="FFDAE3F3"/>
      <rgbColor rgb="FF660066"/>
      <rgbColor rgb="FFFF8080"/>
      <rgbColor rgb="FF0066CC"/>
      <rgbColor rgb="FFBDD7E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7E6E6"/>
      <rgbColor rgb="FFE2F0D9"/>
      <rgbColor rgb="FFFBE5D6"/>
      <rgbColor rgb="FFD6DCE5"/>
      <rgbColor rgb="FFF4B183"/>
      <rgbColor rgb="FFCC99FF"/>
      <rgbColor rgb="FFF8CBAD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2060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47625</xdr:colOff>
      <xdr:row>12</xdr:row>
      <xdr:rowOff>19050</xdr:rowOff>
    </xdr:from>
    <xdr:to>
      <xdr:col>17</xdr:col>
      <xdr:colOff>438150</xdr:colOff>
      <xdr:row>13</xdr:row>
      <xdr:rowOff>390525</xdr:rowOff>
    </xdr:to>
    <xdr:sp macro="" textlink="">
      <xdr:nvSpPr>
        <xdr:cNvPr id="2" name="Freccia a sinistra 1"/>
        <xdr:cNvSpPr/>
      </xdr:nvSpPr>
      <xdr:spPr>
        <a:xfrm>
          <a:off x="8582025" y="2381250"/>
          <a:ext cx="4171950" cy="56197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47625</xdr:colOff>
      <xdr:row>12</xdr:row>
      <xdr:rowOff>19050</xdr:rowOff>
    </xdr:from>
    <xdr:to>
      <xdr:col>17</xdr:col>
      <xdr:colOff>438150</xdr:colOff>
      <xdr:row>13</xdr:row>
      <xdr:rowOff>390525</xdr:rowOff>
    </xdr:to>
    <xdr:sp macro="" textlink="">
      <xdr:nvSpPr>
        <xdr:cNvPr id="2" name="Freccia a sinistra 1"/>
        <xdr:cNvSpPr/>
      </xdr:nvSpPr>
      <xdr:spPr>
        <a:xfrm>
          <a:off x="8582025" y="2381250"/>
          <a:ext cx="4171950" cy="56197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P38"/>
  <sheetViews>
    <sheetView tabSelected="1" zoomScale="55" zoomScaleNormal="55" workbookViewId="0">
      <selection activeCell="M25" sqref="M25"/>
    </sheetView>
  </sheetViews>
  <sheetFormatPr defaultColWidth="10" defaultRowHeight="15" x14ac:dyDescent="0.25"/>
  <cols>
    <col min="1" max="1" width="67.140625" customWidth="1"/>
    <col min="2" max="2" width="28.28515625" customWidth="1"/>
    <col min="3" max="3" width="28.140625" customWidth="1"/>
    <col min="4" max="4" width="32.85546875" customWidth="1"/>
    <col min="5" max="5" width="29.42578125" customWidth="1"/>
    <col min="6" max="6" width="27.140625" customWidth="1"/>
    <col min="7" max="7" width="28.28515625" customWidth="1"/>
    <col min="8" max="9" width="25" customWidth="1"/>
    <col min="10" max="10" width="26.7109375" customWidth="1"/>
    <col min="11" max="11" width="28.42578125" customWidth="1"/>
    <col min="12" max="12" width="34.5703125" customWidth="1"/>
    <col min="13" max="13" width="21.28515625" customWidth="1"/>
    <col min="14" max="14" width="21" bestFit="1" customWidth="1"/>
    <col min="15" max="15" width="12.140625" bestFit="1" customWidth="1"/>
    <col min="16" max="16" width="21" bestFit="1" customWidth="1"/>
  </cols>
  <sheetData>
    <row r="2" spans="1:16" ht="15.75" thickBot="1" x14ac:dyDescent="0.3">
      <c r="B2" s="287" t="s">
        <v>0</v>
      </c>
      <c r="C2" s="287"/>
      <c r="D2" s="287"/>
      <c r="E2" s="287"/>
      <c r="F2" s="287"/>
      <c r="G2" s="287"/>
      <c r="H2" s="287"/>
      <c r="I2" s="287"/>
      <c r="J2" s="287"/>
      <c r="K2" s="287"/>
      <c r="L2" s="287"/>
      <c r="M2" s="1"/>
      <c r="N2" s="1"/>
    </row>
    <row r="3" spans="1:16" ht="96" customHeight="1" x14ac:dyDescent="0.25">
      <c r="B3" s="15" t="s">
        <v>158</v>
      </c>
      <c r="C3" s="15" t="s">
        <v>159</v>
      </c>
      <c r="D3" s="15" t="s">
        <v>160</v>
      </c>
      <c r="E3" s="15" t="s">
        <v>165</v>
      </c>
      <c r="F3" s="15" t="s">
        <v>161</v>
      </c>
      <c r="G3" s="15" t="s">
        <v>166</v>
      </c>
      <c r="H3" s="15" t="s">
        <v>162</v>
      </c>
      <c r="I3" s="15" t="s">
        <v>163</v>
      </c>
      <c r="J3" s="15" t="s">
        <v>4</v>
      </c>
      <c r="K3" s="15" t="s">
        <v>3</v>
      </c>
      <c r="L3" s="15" t="s">
        <v>2</v>
      </c>
      <c r="M3" s="17" t="s">
        <v>169</v>
      </c>
      <c r="N3" s="18" t="s">
        <v>5</v>
      </c>
    </row>
    <row r="4" spans="1:16" ht="46.5" x14ac:dyDescent="0.25">
      <c r="A4" s="2" t="s">
        <v>164</v>
      </c>
      <c r="B4" s="14">
        <v>47670.15</v>
      </c>
      <c r="C4" s="16">
        <v>5910.09</v>
      </c>
      <c r="D4" s="14">
        <f>6690+345.38+3000</f>
        <v>10035.380000000001</v>
      </c>
      <c r="E4" s="14">
        <v>0</v>
      </c>
      <c r="F4" s="14">
        <v>21201.49</v>
      </c>
      <c r="G4" s="14">
        <v>0</v>
      </c>
      <c r="H4" s="14">
        <v>3584.67</v>
      </c>
      <c r="I4" s="14">
        <v>0</v>
      </c>
      <c r="J4" s="14">
        <v>5277.77</v>
      </c>
      <c r="K4" s="16">
        <v>1666.19</v>
      </c>
      <c r="L4" s="9">
        <f>B4+C4+D4+E4+F4+G4+H4+J4+K4+I4</f>
        <v>95345.74000000002</v>
      </c>
      <c r="M4" s="206">
        <f>88401.78+5277.77+1666.19</f>
        <v>95345.74</v>
      </c>
      <c r="N4" s="207">
        <f>M4-L4</f>
        <v>0</v>
      </c>
    </row>
    <row r="5" spans="1:16" ht="46.5" customHeight="1" x14ac:dyDescent="0.25">
      <c r="A5" s="3" t="s">
        <v>167</v>
      </c>
      <c r="B5" s="197">
        <v>43879.76</v>
      </c>
      <c r="C5" s="199">
        <v>5910.09</v>
      </c>
      <c r="D5" s="199">
        <v>9690</v>
      </c>
      <c r="E5" s="199">
        <v>0</v>
      </c>
      <c r="F5" s="199">
        <v>18463.18</v>
      </c>
      <c r="G5" s="199">
        <v>0</v>
      </c>
      <c r="H5" s="199">
        <v>2960.95</v>
      </c>
      <c r="I5" s="199">
        <v>0</v>
      </c>
      <c r="J5" s="22">
        <v>3862.15</v>
      </c>
      <c r="K5" s="22">
        <v>1457.92</v>
      </c>
      <c r="L5" s="201">
        <f>B5+J5+K5</f>
        <v>49199.83</v>
      </c>
      <c r="M5" s="24"/>
      <c r="N5" s="26"/>
    </row>
    <row r="6" spans="1:16" ht="61.5" customHeight="1" thickBot="1" x14ac:dyDescent="0.3">
      <c r="A6" s="205" t="s">
        <v>168</v>
      </c>
      <c r="B6" s="200">
        <f>B4-B5</f>
        <v>3790.3899999999994</v>
      </c>
      <c r="C6" s="200">
        <f t="shared" ref="C6:I6" si="0">C4-C5</f>
        <v>0</v>
      </c>
      <c r="D6" s="200">
        <f t="shared" si="0"/>
        <v>345.38000000000102</v>
      </c>
      <c r="E6" s="200">
        <f t="shared" si="0"/>
        <v>0</v>
      </c>
      <c r="F6" s="200">
        <f t="shared" si="0"/>
        <v>2738.3100000000013</v>
      </c>
      <c r="G6" s="200">
        <f t="shared" si="0"/>
        <v>0</v>
      </c>
      <c r="H6" s="200">
        <f t="shared" si="0"/>
        <v>623.72000000000025</v>
      </c>
      <c r="I6" s="200">
        <f t="shared" si="0"/>
        <v>0</v>
      </c>
      <c r="J6" s="23">
        <f>J4-J5</f>
        <v>1415.6200000000003</v>
      </c>
      <c r="K6" s="23">
        <f>K4-K5</f>
        <v>208.26999999999998</v>
      </c>
      <c r="L6" s="202">
        <f>SUM(B6:K6)</f>
        <v>9121.6900000000023</v>
      </c>
      <c r="M6" s="19">
        <f>7497.8+1415.62+208.27</f>
        <v>9121.69</v>
      </c>
      <c r="N6" s="20">
        <f>M6-L6</f>
        <v>0</v>
      </c>
    </row>
    <row r="7" spans="1:16" ht="69.75" x14ac:dyDescent="0.25">
      <c r="A7" s="204" t="s">
        <v>238</v>
      </c>
      <c r="B7" s="228">
        <v>-777.18</v>
      </c>
      <c r="C7" s="228">
        <v>777.18</v>
      </c>
      <c r="D7" s="228">
        <v>-345.38</v>
      </c>
      <c r="E7" s="228">
        <v>0</v>
      </c>
      <c r="F7" s="228">
        <v>345.38</v>
      </c>
      <c r="G7" s="228">
        <v>0</v>
      </c>
      <c r="H7" s="228">
        <v>0</v>
      </c>
      <c r="I7" s="228">
        <v>0</v>
      </c>
      <c r="J7" s="229">
        <v>0</v>
      </c>
      <c r="K7" s="229">
        <v>0</v>
      </c>
      <c r="L7" s="203">
        <f>SUM(B7:K7)</f>
        <v>0</v>
      </c>
    </row>
    <row r="8" spans="1:16" ht="46.5" x14ac:dyDescent="0.25">
      <c r="A8" s="209" t="s">
        <v>170</v>
      </c>
      <c r="B8" s="29">
        <v>0</v>
      </c>
      <c r="C8" s="29">
        <v>0</v>
      </c>
      <c r="D8" s="29">
        <v>0</v>
      </c>
      <c r="E8" s="29">
        <v>0</v>
      </c>
      <c r="F8" s="29">
        <v>0</v>
      </c>
      <c r="G8" s="29">
        <v>0</v>
      </c>
      <c r="H8" s="29">
        <v>0</v>
      </c>
      <c r="I8" s="29">
        <v>0</v>
      </c>
      <c r="J8" s="29">
        <v>0</v>
      </c>
      <c r="K8" s="29">
        <v>0</v>
      </c>
      <c r="L8" s="29">
        <f>SUM(B8:K8)</f>
        <v>0</v>
      </c>
    </row>
    <row r="9" spans="1:16" ht="36" customHeight="1" thickBot="1" x14ac:dyDescent="0.3">
      <c r="A9" s="323" t="s">
        <v>8</v>
      </c>
      <c r="B9" s="324">
        <f>B6+B7+B8</f>
        <v>3013.2099999999996</v>
      </c>
      <c r="C9" s="324">
        <f t="shared" ref="C9:L9" si="1">C6+C7+C8</f>
        <v>777.18</v>
      </c>
      <c r="D9" s="324">
        <f t="shared" si="1"/>
        <v>1.0231815394945443E-12</v>
      </c>
      <c r="E9" s="324">
        <f t="shared" si="1"/>
        <v>0</v>
      </c>
      <c r="F9" s="324">
        <f t="shared" si="1"/>
        <v>3083.6900000000014</v>
      </c>
      <c r="G9" s="324">
        <f t="shared" si="1"/>
        <v>0</v>
      </c>
      <c r="H9" s="324">
        <f>H6+H7+H8</f>
        <v>623.72000000000025</v>
      </c>
      <c r="I9" s="324">
        <f t="shared" si="1"/>
        <v>0</v>
      </c>
      <c r="J9" s="324">
        <f t="shared" si="1"/>
        <v>1415.6200000000003</v>
      </c>
      <c r="K9" s="324">
        <f t="shared" si="1"/>
        <v>208.26999999999998</v>
      </c>
      <c r="L9" s="324">
        <f t="shared" si="1"/>
        <v>9121.6900000000023</v>
      </c>
    </row>
    <row r="10" spans="1:16" ht="42" x14ac:dyDescent="0.4">
      <c r="A10" s="319" t="s">
        <v>240</v>
      </c>
      <c r="B10" s="320">
        <f>B9</f>
        <v>3013.2099999999996</v>
      </c>
      <c r="C10" s="321">
        <v>0</v>
      </c>
      <c r="D10" s="321">
        <v>0</v>
      </c>
      <c r="E10" s="321">
        <v>0</v>
      </c>
      <c r="F10" s="321">
        <v>0</v>
      </c>
      <c r="G10" s="321">
        <v>0</v>
      </c>
      <c r="H10" s="321">
        <v>0</v>
      </c>
      <c r="I10" s="321">
        <v>0</v>
      </c>
      <c r="J10" s="321">
        <v>0</v>
      </c>
      <c r="K10" s="321">
        <v>0</v>
      </c>
      <c r="L10" s="322">
        <f>SUM(B10)</f>
        <v>3013.2099999999996</v>
      </c>
      <c r="M10" s="222">
        <f>L10/6096.9</f>
        <v>0.49422001344945787</v>
      </c>
      <c r="N10" s="216">
        <v>6096.9</v>
      </c>
      <c r="O10" s="217">
        <f>49.42%</f>
        <v>0.49420000000000003</v>
      </c>
      <c r="P10" s="325">
        <f>N10*O10</f>
        <v>3013.0879799999998</v>
      </c>
    </row>
    <row r="11" spans="1:16" ht="42" x14ac:dyDescent="0.4">
      <c r="A11" s="310" t="s">
        <v>241</v>
      </c>
      <c r="B11" s="210">
        <v>0</v>
      </c>
      <c r="C11" s="210">
        <v>0</v>
      </c>
      <c r="D11" s="210">
        <v>0</v>
      </c>
      <c r="E11" s="210">
        <v>0</v>
      </c>
      <c r="F11" s="311">
        <f>F6+F7+F8</f>
        <v>3083.6900000000014</v>
      </c>
      <c r="G11" s="210">
        <v>0</v>
      </c>
      <c r="H11" s="210">
        <v>0</v>
      </c>
      <c r="I11" s="210">
        <v>0</v>
      </c>
      <c r="J11" s="210">
        <v>0</v>
      </c>
      <c r="K11" s="210">
        <v>0</v>
      </c>
      <c r="L11" s="211">
        <f>SUM(F11)</f>
        <v>3083.6900000000014</v>
      </c>
      <c r="M11" s="223">
        <f>L11/6096.9</f>
        <v>0.50577998655054235</v>
      </c>
      <c r="N11" s="218">
        <v>6096.9</v>
      </c>
      <c r="O11" s="219">
        <f>50.58%</f>
        <v>0.50580000000000003</v>
      </c>
      <c r="P11" s="326">
        <f>N11*O11</f>
        <v>3083.8120199999998</v>
      </c>
    </row>
    <row r="12" spans="1:16" ht="42.75" thickBot="1" x14ac:dyDescent="0.45">
      <c r="A12" s="312" t="s">
        <v>239</v>
      </c>
      <c r="B12" s="313">
        <v>-0.12</v>
      </c>
      <c r="C12" s="313">
        <v>0</v>
      </c>
      <c r="D12" s="313">
        <v>0</v>
      </c>
      <c r="E12" s="313">
        <v>0</v>
      </c>
      <c r="F12" s="313">
        <v>0.12</v>
      </c>
      <c r="G12" s="313">
        <v>0</v>
      </c>
      <c r="H12" s="313">
        <v>0</v>
      </c>
      <c r="I12" s="313">
        <v>0</v>
      </c>
      <c r="J12" s="313">
        <v>0</v>
      </c>
      <c r="K12" s="313">
        <v>0</v>
      </c>
      <c r="L12" s="212">
        <f>SUM(B12:K12)</f>
        <v>0</v>
      </c>
      <c r="M12" s="220" t="s">
        <v>242</v>
      </c>
      <c r="N12" s="96"/>
      <c r="O12" s="96"/>
      <c r="P12" s="327">
        <f>P10+P11</f>
        <v>6096.9</v>
      </c>
    </row>
    <row r="13" spans="1:16" ht="96.75" customHeight="1" thickBot="1" x14ac:dyDescent="0.3">
      <c r="A13" s="213" t="s">
        <v>171</v>
      </c>
      <c r="B13" s="214">
        <f>B9+B12</f>
        <v>3013.0899999999997</v>
      </c>
      <c r="C13" s="214">
        <f>C9+C12</f>
        <v>777.18</v>
      </c>
      <c r="D13" s="214">
        <f>D9+D12</f>
        <v>1.0231815394945443E-12</v>
      </c>
      <c r="E13" s="214">
        <f>E9+E12</f>
        <v>0</v>
      </c>
      <c r="F13" s="214">
        <f>F9+F12</f>
        <v>3083.8100000000013</v>
      </c>
      <c r="G13" s="214">
        <f>G9+G12</f>
        <v>0</v>
      </c>
      <c r="H13" s="214">
        <f>H9+H12</f>
        <v>623.72000000000025</v>
      </c>
      <c r="I13" s="214">
        <f>I9+I12</f>
        <v>0</v>
      </c>
      <c r="J13" s="214">
        <f>J9+J12</f>
        <v>1415.6200000000003</v>
      </c>
      <c r="K13" s="214">
        <f>K9+K12</f>
        <v>208.26999999999998</v>
      </c>
      <c r="L13" s="215">
        <f>SUM(B13:K13)</f>
        <v>9121.6900000000023</v>
      </c>
      <c r="M13" s="208"/>
    </row>
    <row r="14" spans="1:16" ht="14.25" customHeight="1" thickBot="1" x14ac:dyDescent="0.3">
      <c r="A14" s="5"/>
      <c r="B14" s="6"/>
      <c r="C14" s="4"/>
      <c r="D14" s="4"/>
      <c r="E14" s="4"/>
      <c r="F14" s="5"/>
      <c r="G14" s="5"/>
      <c r="H14" s="4"/>
      <c r="I14" s="4"/>
      <c r="J14" s="4"/>
      <c r="K14" s="4"/>
      <c r="L14" s="4"/>
      <c r="M14" s="4"/>
    </row>
    <row r="15" spans="1:16" ht="67.5" customHeight="1" x14ac:dyDescent="0.25">
      <c r="A15" s="221" t="s">
        <v>172</v>
      </c>
      <c r="B15" s="15" t="s">
        <v>158</v>
      </c>
      <c r="C15" s="15" t="s">
        <v>159</v>
      </c>
      <c r="D15" s="15" t="s">
        <v>160</v>
      </c>
      <c r="E15" s="15" t="s">
        <v>184</v>
      </c>
      <c r="F15" s="15" t="s">
        <v>161</v>
      </c>
      <c r="G15" s="15" t="s">
        <v>185</v>
      </c>
      <c r="H15" s="15" t="s">
        <v>162</v>
      </c>
      <c r="I15" s="15" t="s">
        <v>163</v>
      </c>
      <c r="J15" s="15" t="s">
        <v>4</v>
      </c>
      <c r="K15" s="15" t="s">
        <v>3</v>
      </c>
      <c r="M15" s="4"/>
    </row>
    <row r="16" spans="1:16" ht="63" x14ac:dyDescent="0.35">
      <c r="A16" s="13" t="s">
        <v>176</v>
      </c>
      <c r="B16" s="281">
        <v>35903.49</v>
      </c>
      <c r="C16" s="284">
        <f>5472.82</f>
        <v>5472.82</v>
      </c>
      <c r="D16" s="281">
        <f>7112.05+3250</f>
        <v>10362.049999999999</v>
      </c>
      <c r="E16" s="281">
        <v>11910.14</v>
      </c>
      <c r="F16" s="281">
        <f>15387.21</f>
        <v>15387.21</v>
      </c>
      <c r="G16" s="281">
        <f>5104.35</f>
        <v>5104.3500000000004</v>
      </c>
      <c r="H16" s="281">
        <v>3717.86</v>
      </c>
      <c r="I16" s="281">
        <f>0</f>
        <v>0</v>
      </c>
      <c r="J16" s="281">
        <f>3922.56</f>
        <v>3922.56</v>
      </c>
      <c r="K16" s="281">
        <f>1736.59</f>
        <v>1736.59</v>
      </c>
      <c r="M16" s="4"/>
    </row>
    <row r="17" spans="1:15" ht="21" customHeight="1" x14ac:dyDescent="0.35">
      <c r="A17" s="10" t="s">
        <v>174</v>
      </c>
      <c r="B17" s="282"/>
      <c r="C17" s="285"/>
      <c r="D17" s="282"/>
      <c r="E17" s="282"/>
      <c r="F17" s="282"/>
      <c r="G17" s="282"/>
      <c r="H17" s="282"/>
      <c r="I17" s="282"/>
      <c r="J17" s="282"/>
      <c r="K17" s="282"/>
      <c r="M17" s="4"/>
      <c r="N17" s="21" t="s">
        <v>173</v>
      </c>
    </row>
    <row r="18" spans="1:15" ht="21" customHeight="1" x14ac:dyDescent="0.35">
      <c r="A18" s="11" t="s">
        <v>175</v>
      </c>
      <c r="B18" s="282"/>
      <c r="C18" s="285"/>
      <c r="D18" s="282"/>
      <c r="E18" s="282"/>
      <c r="F18" s="282"/>
      <c r="G18" s="282"/>
      <c r="H18" s="282"/>
      <c r="I18" s="282"/>
      <c r="J18" s="282"/>
      <c r="K18" s="282"/>
      <c r="M18" s="4"/>
    </row>
    <row r="19" spans="1:15" ht="21" customHeight="1" x14ac:dyDescent="0.35">
      <c r="A19" s="12" t="s">
        <v>177</v>
      </c>
      <c r="B19" s="282"/>
      <c r="C19" s="285"/>
      <c r="D19" s="282"/>
      <c r="E19" s="282"/>
      <c r="F19" s="282"/>
      <c r="G19" s="282"/>
      <c r="H19" s="282"/>
      <c r="I19" s="282"/>
      <c r="J19" s="282"/>
      <c r="K19" s="282"/>
      <c r="M19" s="4"/>
    </row>
    <row r="20" spans="1:15" ht="24" customHeight="1" x14ac:dyDescent="0.35">
      <c r="A20" s="12" t="s">
        <v>178</v>
      </c>
      <c r="B20" s="282"/>
      <c r="C20" s="285"/>
      <c r="D20" s="282"/>
      <c r="E20" s="282"/>
      <c r="F20" s="282"/>
      <c r="G20" s="282"/>
      <c r="H20" s="282"/>
      <c r="I20" s="282"/>
      <c r="J20" s="282"/>
      <c r="K20" s="282"/>
      <c r="M20" s="4"/>
    </row>
    <row r="21" spans="1:15" ht="21" customHeight="1" x14ac:dyDescent="0.35">
      <c r="A21" s="12" t="s">
        <v>9</v>
      </c>
      <c r="B21" s="282"/>
      <c r="C21" s="285"/>
      <c r="D21" s="282"/>
      <c r="E21" s="282"/>
      <c r="F21" s="282"/>
      <c r="G21" s="282"/>
      <c r="H21" s="282"/>
      <c r="I21" s="282"/>
      <c r="J21" s="282"/>
      <c r="K21" s="282"/>
      <c r="M21" s="4"/>
    </row>
    <row r="22" spans="1:15" ht="21" customHeight="1" x14ac:dyDescent="0.35">
      <c r="A22" s="12" t="s">
        <v>179</v>
      </c>
      <c r="B22" s="282"/>
      <c r="C22" s="285"/>
      <c r="D22" s="282"/>
      <c r="E22" s="282"/>
      <c r="F22" s="282"/>
      <c r="G22" s="282"/>
      <c r="H22" s="282"/>
      <c r="I22" s="282"/>
      <c r="J22" s="282"/>
      <c r="K22" s="282"/>
      <c r="M22" s="4"/>
      <c r="O22" s="4"/>
    </row>
    <row r="23" spans="1:15" ht="21" customHeight="1" x14ac:dyDescent="0.35">
      <c r="A23" s="12" t="s">
        <v>180</v>
      </c>
      <c r="B23" s="282"/>
      <c r="C23" s="285"/>
      <c r="D23" s="282"/>
      <c r="E23" s="282"/>
      <c r="F23" s="282"/>
      <c r="G23" s="282"/>
      <c r="H23" s="282"/>
      <c r="I23" s="282"/>
      <c r="J23" s="282"/>
      <c r="K23" s="282"/>
      <c r="M23" s="4"/>
      <c r="O23" s="4"/>
    </row>
    <row r="24" spans="1:15" ht="37.5" customHeight="1" x14ac:dyDescent="0.35">
      <c r="A24" s="230" t="s">
        <v>181</v>
      </c>
      <c r="B24" s="282"/>
      <c r="C24" s="285"/>
      <c r="D24" s="282"/>
      <c r="E24" s="282"/>
      <c r="F24" s="282"/>
      <c r="G24" s="282"/>
      <c r="H24" s="282"/>
      <c r="I24" s="282"/>
      <c r="J24" s="282"/>
      <c r="K24" s="282"/>
      <c r="M24" s="4"/>
      <c r="O24" s="4"/>
    </row>
    <row r="25" spans="1:15" ht="21" customHeight="1" x14ac:dyDescent="0.35">
      <c r="A25" s="10" t="s">
        <v>182</v>
      </c>
      <c r="B25" s="282"/>
      <c r="C25" s="285"/>
      <c r="D25" s="282"/>
      <c r="E25" s="282"/>
      <c r="F25" s="282"/>
      <c r="G25" s="282"/>
      <c r="H25" s="282"/>
      <c r="I25" s="282"/>
      <c r="J25" s="282"/>
      <c r="K25" s="282"/>
      <c r="M25" s="4"/>
      <c r="O25" s="4"/>
    </row>
    <row r="26" spans="1:15" ht="21" customHeight="1" thickBot="1" x14ac:dyDescent="0.4">
      <c r="A26" s="11" t="s">
        <v>183</v>
      </c>
      <c r="B26" s="283"/>
      <c r="C26" s="286"/>
      <c r="D26" s="283"/>
      <c r="E26" s="283"/>
      <c r="F26" s="283"/>
      <c r="G26" s="283"/>
      <c r="H26" s="283"/>
      <c r="I26" s="283"/>
      <c r="J26" s="283"/>
      <c r="K26" s="283"/>
      <c r="M26" s="4"/>
      <c r="O26" s="4"/>
    </row>
    <row r="27" spans="1:15" ht="15" customHeight="1" x14ac:dyDescent="0.25">
      <c r="B27" s="4"/>
      <c r="C27" s="4"/>
      <c r="D27" s="4"/>
      <c r="E27" s="4"/>
      <c r="F27" s="4"/>
      <c r="G27" s="4"/>
      <c r="H27" s="4"/>
      <c r="I27" s="4"/>
      <c r="J27" s="4"/>
      <c r="K27" s="4"/>
      <c r="M27" s="4"/>
    </row>
    <row r="28" spans="1:15" ht="7.5" customHeight="1" thickBot="1" x14ac:dyDescent="0.3">
      <c r="B28" s="4"/>
      <c r="C28" s="4"/>
      <c r="D28" s="4"/>
      <c r="E28" s="4"/>
      <c r="F28" s="4"/>
      <c r="G28" s="4"/>
      <c r="H28" s="4"/>
      <c r="I28" s="4"/>
      <c r="J28" s="4"/>
      <c r="K28" s="4"/>
      <c r="M28" s="4"/>
    </row>
    <row r="29" spans="1:15" ht="15" customHeight="1" thickBot="1" x14ac:dyDescent="0.3">
      <c r="A29" s="290" t="s">
        <v>1</v>
      </c>
      <c r="B29" s="289">
        <f t="shared" ref="B29:K29" si="2">B13+B16</f>
        <v>38916.579999999994</v>
      </c>
      <c r="C29" s="289">
        <f t="shared" si="2"/>
        <v>6250</v>
      </c>
      <c r="D29" s="289">
        <f t="shared" si="2"/>
        <v>10362.050000000001</v>
      </c>
      <c r="E29" s="289">
        <f t="shared" si="2"/>
        <v>11910.14</v>
      </c>
      <c r="F29" s="289">
        <f t="shared" si="2"/>
        <v>18471.02</v>
      </c>
      <c r="G29" s="289">
        <f t="shared" si="2"/>
        <v>5104.3500000000004</v>
      </c>
      <c r="H29" s="289">
        <f t="shared" si="2"/>
        <v>4341.58</v>
      </c>
      <c r="I29" s="289">
        <f t="shared" si="2"/>
        <v>0</v>
      </c>
      <c r="J29" s="289">
        <f t="shared" si="2"/>
        <v>5338.18</v>
      </c>
      <c r="K29" s="289">
        <f t="shared" si="2"/>
        <v>1944.86</v>
      </c>
      <c r="L29" s="288">
        <f>SUM(B29:K32)</f>
        <v>102638.76</v>
      </c>
      <c r="M29" s="4"/>
    </row>
    <row r="30" spans="1:15" ht="15" customHeight="1" thickBot="1" x14ac:dyDescent="0.3">
      <c r="A30" s="290"/>
      <c r="B30" s="289"/>
      <c r="C30" s="289"/>
      <c r="D30" s="289"/>
      <c r="E30" s="289"/>
      <c r="F30" s="289"/>
      <c r="G30" s="289"/>
      <c r="H30" s="289"/>
      <c r="I30" s="289"/>
      <c r="J30" s="289"/>
      <c r="K30" s="289"/>
      <c r="L30" s="288"/>
      <c r="M30" s="4"/>
    </row>
    <row r="31" spans="1:15" ht="15" customHeight="1" thickBot="1" x14ac:dyDescent="0.3">
      <c r="A31" s="290"/>
      <c r="B31" s="289"/>
      <c r="C31" s="289"/>
      <c r="D31" s="289"/>
      <c r="E31" s="289"/>
      <c r="F31" s="289"/>
      <c r="G31" s="289"/>
      <c r="H31" s="289"/>
      <c r="I31" s="289"/>
      <c r="J31" s="289"/>
      <c r="K31" s="289"/>
      <c r="L31" s="288"/>
      <c r="M31" s="4"/>
    </row>
    <row r="32" spans="1:15" ht="15" customHeight="1" thickBot="1" x14ac:dyDescent="0.3">
      <c r="A32" s="290"/>
      <c r="B32" s="289"/>
      <c r="C32" s="289"/>
      <c r="D32" s="289"/>
      <c r="E32" s="289"/>
      <c r="F32" s="289"/>
      <c r="G32" s="289"/>
      <c r="H32" s="289"/>
      <c r="I32" s="289"/>
      <c r="J32" s="289"/>
      <c r="K32" s="289"/>
      <c r="L32" s="288"/>
      <c r="M32" s="4"/>
    </row>
    <row r="33" spans="1:12" ht="15" customHeight="1" x14ac:dyDescent="0.25">
      <c r="B33" s="4"/>
      <c r="C33" s="4"/>
      <c r="D33" s="4"/>
      <c r="E33" s="4"/>
      <c r="F33" s="4"/>
      <c r="G33" s="4"/>
      <c r="H33" s="4"/>
      <c r="J33" s="4"/>
      <c r="K33" s="4"/>
    </row>
    <row r="34" spans="1:12" ht="28.5" x14ac:dyDescent="0.25">
      <c r="A34" s="7" t="s">
        <v>237</v>
      </c>
      <c r="B34" s="8">
        <v>0</v>
      </c>
      <c r="C34" s="8">
        <v>0</v>
      </c>
      <c r="D34" s="318">
        <v>0</v>
      </c>
      <c r="E34" s="318">
        <v>0</v>
      </c>
      <c r="F34" s="31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28">
        <f>SUM(B34:K34)</f>
        <v>0</v>
      </c>
    </row>
    <row r="35" spans="1:12" ht="15.75" customHeight="1" thickBot="1" x14ac:dyDescent="0.3"/>
    <row r="36" spans="1:12" ht="99" customHeight="1" thickBot="1" x14ac:dyDescent="0.3">
      <c r="A36" s="268" t="s">
        <v>186</v>
      </c>
      <c r="B36" s="269">
        <f>B29+B34</f>
        <v>38916.579999999994</v>
      </c>
      <c r="C36" s="269">
        <f>C29+C34</f>
        <v>6250</v>
      </c>
      <c r="D36" s="269">
        <f>D29+D34</f>
        <v>10362.050000000001</v>
      </c>
      <c r="E36" s="269">
        <f>E29+E34</f>
        <v>11910.14</v>
      </c>
      <c r="F36" s="269">
        <f>F29+F34</f>
        <v>18471.02</v>
      </c>
      <c r="G36" s="269">
        <f>G29+G34</f>
        <v>5104.3500000000004</v>
      </c>
      <c r="H36" s="269">
        <f>H29+H34</f>
        <v>4341.58</v>
      </c>
      <c r="I36" s="269">
        <f>I29+I34</f>
        <v>0</v>
      </c>
      <c r="J36" s="269">
        <f>J29+J34</f>
        <v>5338.18</v>
      </c>
      <c r="K36" s="269">
        <f>K29+K34</f>
        <v>1944.86</v>
      </c>
      <c r="L36" s="270">
        <f>L29+L34</f>
        <v>102638.76</v>
      </c>
    </row>
    <row r="37" spans="1:12" ht="68.25" customHeight="1" x14ac:dyDescent="0.25">
      <c r="B37" s="267" t="s">
        <v>158</v>
      </c>
      <c r="C37" s="267" t="s">
        <v>159</v>
      </c>
      <c r="D37" s="267" t="s">
        <v>160</v>
      </c>
      <c r="E37" s="267" t="s">
        <v>184</v>
      </c>
      <c r="F37" s="267" t="s">
        <v>161</v>
      </c>
      <c r="G37" s="267" t="s">
        <v>185</v>
      </c>
      <c r="H37" s="267" t="s">
        <v>162</v>
      </c>
      <c r="I37" s="267" t="s">
        <v>163</v>
      </c>
      <c r="J37" s="267" t="s">
        <v>4</v>
      </c>
      <c r="K37" s="267" t="s">
        <v>3</v>
      </c>
    </row>
    <row r="38" spans="1:12" ht="15" customHeight="1" x14ac:dyDescent="0.25"/>
  </sheetData>
  <mergeCells count="23">
    <mergeCell ref="B2:L2"/>
    <mergeCell ref="B16:B26"/>
    <mergeCell ref="L29:L32"/>
    <mergeCell ref="K29:K32"/>
    <mergeCell ref="A29:A32"/>
    <mergeCell ref="B29:B32"/>
    <mergeCell ref="C29:C32"/>
    <mergeCell ref="D29:D32"/>
    <mergeCell ref="E29:E32"/>
    <mergeCell ref="I29:I32"/>
    <mergeCell ref="F29:F32"/>
    <mergeCell ref="G29:G32"/>
    <mergeCell ref="H29:H32"/>
    <mergeCell ref="J29:J32"/>
    <mergeCell ref="H16:H26"/>
    <mergeCell ref="I16:I26"/>
    <mergeCell ref="J16:J26"/>
    <mergeCell ref="K16:K26"/>
    <mergeCell ref="C16:C26"/>
    <mergeCell ref="D16:D26"/>
    <mergeCell ref="E16:E26"/>
    <mergeCell ref="F16:F26"/>
    <mergeCell ref="G16:G26"/>
  </mergeCells>
  <pageMargins left="0.25" right="0.25" top="0.75" bottom="0.75" header="0.3" footer="0.3"/>
  <pageSetup paperSize="9" scale="32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7"/>
  <sheetViews>
    <sheetView zoomScale="115" zoomScaleNormal="115" workbookViewId="0">
      <selection activeCell="C3" sqref="C3:C6"/>
    </sheetView>
  </sheetViews>
  <sheetFormatPr defaultRowHeight="15" x14ac:dyDescent="0.25"/>
  <cols>
    <col min="1" max="1" width="66.7109375" bestFit="1" customWidth="1"/>
    <col min="2" max="2" width="16" customWidth="1"/>
    <col min="3" max="3" width="12.85546875" bestFit="1" customWidth="1"/>
    <col min="4" max="4" width="15.42578125" style="147" customWidth="1"/>
    <col min="5" max="5" width="16.7109375" bestFit="1" customWidth="1"/>
    <col min="6" max="6" width="12" bestFit="1" customWidth="1"/>
    <col min="8" max="8" width="5.7109375" customWidth="1"/>
    <col min="11" max="11" width="11.7109375" bestFit="1" customWidth="1"/>
  </cols>
  <sheetData>
    <row r="1" spans="1:11" ht="19.5" x14ac:dyDescent="0.25">
      <c r="A1" s="31" t="s">
        <v>10</v>
      </c>
    </row>
    <row r="2" spans="1:11" x14ac:dyDescent="0.25">
      <c r="C2" s="32" t="s">
        <v>11</v>
      </c>
      <c r="D2" s="32" t="s">
        <v>12</v>
      </c>
      <c r="E2" s="32" t="s">
        <v>116</v>
      </c>
    </row>
    <row r="3" spans="1:11" x14ac:dyDescent="0.25">
      <c r="B3" s="132" t="s">
        <v>189</v>
      </c>
      <c r="C3" s="239">
        <f>'MOF DISPONIBILE'!B36</f>
        <v>38916.579999999994</v>
      </c>
      <c r="D3" s="239">
        <f>B46</f>
        <v>38916.58</v>
      </c>
      <c r="E3" s="240">
        <f>C3-D3</f>
        <v>0</v>
      </c>
    </row>
    <row r="4" spans="1:11" x14ac:dyDescent="0.25">
      <c r="B4" s="132" t="s">
        <v>190</v>
      </c>
      <c r="C4" s="239">
        <f>'MOF DISPONIBILE'!E36</f>
        <v>11910.14</v>
      </c>
      <c r="D4" s="241">
        <f>B52</f>
        <v>11910.14</v>
      </c>
      <c r="E4" s="240">
        <f>C4-D4</f>
        <v>0</v>
      </c>
      <c r="F4" s="21"/>
    </row>
    <row r="5" spans="1:11" x14ac:dyDescent="0.25">
      <c r="B5" s="132" t="s">
        <v>191</v>
      </c>
      <c r="C5" s="239">
        <f>'MOF DISPONIBILE'!C36</f>
        <v>6250</v>
      </c>
      <c r="D5" s="241">
        <f>B60</f>
        <v>6250</v>
      </c>
      <c r="E5" s="240">
        <f>C5-D5</f>
        <v>0</v>
      </c>
      <c r="K5" s="50"/>
    </row>
    <row r="6" spans="1:11" x14ac:dyDescent="0.25">
      <c r="B6" s="132" t="s">
        <v>192</v>
      </c>
      <c r="C6" s="239">
        <f>'MOF DISPONIBILE'!K36</f>
        <v>1944.86</v>
      </c>
      <c r="D6" s="241">
        <f>B67</f>
        <v>1944.8600000000001</v>
      </c>
      <c r="E6" s="240">
        <f>C6-D6</f>
        <v>0</v>
      </c>
      <c r="F6" s="21"/>
    </row>
    <row r="8" spans="1:11" ht="45" x14ac:dyDescent="0.25">
      <c r="A8" s="232" t="s">
        <v>188</v>
      </c>
      <c r="B8" s="133" t="s">
        <v>113</v>
      </c>
      <c r="C8" s="133" t="s">
        <v>122</v>
      </c>
      <c r="D8" s="151" t="s">
        <v>111</v>
      </c>
      <c r="E8" s="150" t="s">
        <v>112</v>
      </c>
      <c r="F8" s="157"/>
    </row>
    <row r="9" spans="1:11" x14ac:dyDescent="0.25">
      <c r="A9" s="125" t="s">
        <v>93</v>
      </c>
      <c r="B9" s="130">
        <v>2000</v>
      </c>
      <c r="C9" s="27"/>
      <c r="D9" s="148">
        <v>1</v>
      </c>
      <c r="E9" s="37">
        <f t="shared" ref="E9:E43" si="0">B9/D9</f>
        <v>2000</v>
      </c>
      <c r="F9" s="157"/>
      <c r="G9" s="157"/>
      <c r="H9" s="157"/>
      <c r="I9" s="157"/>
    </row>
    <row r="10" spans="1:11" ht="79.5" x14ac:dyDescent="0.25">
      <c r="A10" s="255" t="s">
        <v>206</v>
      </c>
      <c r="B10" s="27">
        <v>1200</v>
      </c>
      <c r="C10" s="172" t="s">
        <v>212</v>
      </c>
      <c r="D10" s="148">
        <v>4</v>
      </c>
      <c r="E10" s="173" t="s">
        <v>213</v>
      </c>
      <c r="F10" s="157"/>
      <c r="G10" s="157"/>
      <c r="H10" s="157"/>
      <c r="I10" s="157"/>
    </row>
    <row r="11" spans="1:11" x14ac:dyDescent="0.25">
      <c r="A11" s="255" t="s">
        <v>7</v>
      </c>
      <c r="B11" s="27">
        <v>150</v>
      </c>
      <c r="C11" s="27"/>
      <c r="D11" s="148">
        <v>1</v>
      </c>
      <c r="E11" s="37">
        <f t="shared" si="0"/>
        <v>150</v>
      </c>
      <c r="F11" s="157"/>
      <c r="G11" s="157"/>
      <c r="H11" s="157"/>
      <c r="I11" s="157"/>
    </row>
    <row r="12" spans="1:11" x14ac:dyDescent="0.25">
      <c r="A12" s="255" t="s">
        <v>207</v>
      </c>
      <c r="B12" s="27">
        <v>1200</v>
      </c>
      <c r="C12" s="27"/>
      <c r="D12" s="148">
        <v>4</v>
      </c>
      <c r="E12" s="37">
        <f t="shared" si="0"/>
        <v>300</v>
      </c>
      <c r="F12" s="157"/>
      <c r="G12" s="157"/>
      <c r="H12" s="157"/>
      <c r="I12" s="157"/>
    </row>
    <row r="13" spans="1:11" x14ac:dyDescent="0.25">
      <c r="A13" s="255" t="s">
        <v>6</v>
      </c>
      <c r="B13" s="27">
        <v>1000</v>
      </c>
      <c r="C13" s="27"/>
      <c r="D13" s="148">
        <v>2</v>
      </c>
      <c r="E13" s="37">
        <f t="shared" si="0"/>
        <v>500</v>
      </c>
      <c r="F13" s="157"/>
      <c r="G13" s="157"/>
      <c r="H13" s="157"/>
      <c r="I13" s="157"/>
    </row>
    <row r="14" spans="1:11" x14ac:dyDescent="0.25">
      <c r="A14" s="256" t="s">
        <v>208</v>
      </c>
      <c r="B14" s="27">
        <v>1050</v>
      </c>
      <c r="C14" s="252"/>
      <c r="D14" s="148">
        <v>3</v>
      </c>
      <c r="E14" s="37">
        <f t="shared" si="0"/>
        <v>350</v>
      </c>
      <c r="F14" s="157"/>
      <c r="G14" s="157"/>
      <c r="H14" s="157"/>
      <c r="I14" s="157"/>
    </row>
    <row r="15" spans="1:11" x14ac:dyDescent="0.25">
      <c r="A15" s="256" t="s">
        <v>76</v>
      </c>
      <c r="B15" s="27">
        <v>150</v>
      </c>
      <c r="C15" s="252"/>
      <c r="D15" s="148">
        <v>1</v>
      </c>
      <c r="E15" s="37">
        <f t="shared" si="0"/>
        <v>150</v>
      </c>
      <c r="F15" s="157"/>
      <c r="G15" s="157"/>
      <c r="H15" s="157"/>
      <c r="I15" s="157"/>
    </row>
    <row r="16" spans="1:11" x14ac:dyDescent="0.25">
      <c r="A16" s="122" t="s">
        <v>77</v>
      </c>
      <c r="B16" s="27">
        <v>400</v>
      </c>
      <c r="C16" s="252"/>
      <c r="D16" s="148">
        <v>1</v>
      </c>
      <c r="E16" s="37">
        <f t="shared" si="0"/>
        <v>400</v>
      </c>
      <c r="F16" s="157"/>
      <c r="G16" s="157"/>
      <c r="H16" s="157"/>
      <c r="I16" s="157"/>
    </row>
    <row r="17" spans="1:9" x14ac:dyDescent="0.25">
      <c r="A17" s="122" t="s">
        <v>209</v>
      </c>
      <c r="B17" s="27">
        <v>500</v>
      </c>
      <c r="C17" s="27"/>
      <c r="D17" s="148">
        <v>2</v>
      </c>
      <c r="E17" s="37">
        <f t="shared" si="0"/>
        <v>250</v>
      </c>
      <c r="F17" s="157"/>
      <c r="G17" s="157"/>
      <c r="H17" s="157"/>
      <c r="I17" s="157"/>
    </row>
    <row r="18" spans="1:9" x14ac:dyDescent="0.25">
      <c r="A18" s="123" t="s">
        <v>78</v>
      </c>
      <c r="B18" s="27">
        <v>900</v>
      </c>
      <c r="C18" s="27"/>
      <c r="D18" s="148">
        <v>9</v>
      </c>
      <c r="E18" s="37">
        <f t="shared" si="0"/>
        <v>100</v>
      </c>
      <c r="F18" s="157"/>
      <c r="G18" s="157"/>
      <c r="H18" s="157"/>
      <c r="I18" s="157"/>
    </row>
    <row r="19" spans="1:9" ht="68.25" x14ac:dyDescent="0.25">
      <c r="A19" s="257" t="s">
        <v>210</v>
      </c>
      <c r="B19" s="27">
        <v>1500</v>
      </c>
      <c r="C19" s="27"/>
      <c r="D19" s="148">
        <v>4</v>
      </c>
      <c r="E19" s="173" t="s">
        <v>235</v>
      </c>
      <c r="F19" s="157"/>
      <c r="G19" s="157"/>
      <c r="H19" s="157"/>
      <c r="I19" s="157"/>
    </row>
    <row r="20" spans="1:9" x14ac:dyDescent="0.25">
      <c r="A20" s="126" t="s">
        <v>79</v>
      </c>
      <c r="B20" s="328">
        <f>'CALCOLO COORD DI PLESSO'!B10</f>
        <v>488.01933333333329</v>
      </c>
      <c r="C20" s="27"/>
      <c r="D20" s="36">
        <v>2</v>
      </c>
      <c r="E20" s="37">
        <f t="shared" si="0"/>
        <v>244.00966666666665</v>
      </c>
      <c r="F20" s="157"/>
      <c r="G20" s="157"/>
      <c r="H20" s="157"/>
      <c r="I20" s="157"/>
    </row>
    <row r="21" spans="1:9" x14ac:dyDescent="0.25">
      <c r="A21" s="243" t="s">
        <v>80</v>
      </c>
      <c r="B21" s="328">
        <f>'CALCOLO COORD DI PLESSO'!C10</f>
        <v>607.029</v>
      </c>
      <c r="C21" s="27"/>
      <c r="D21" s="36">
        <v>2</v>
      </c>
      <c r="E21" s="37">
        <f t="shared" si="0"/>
        <v>303.5145</v>
      </c>
      <c r="F21" s="157"/>
      <c r="G21" s="195"/>
    </row>
    <row r="22" spans="1:9" x14ac:dyDescent="0.25">
      <c r="A22" s="243" t="s">
        <v>81</v>
      </c>
      <c r="B22" s="328">
        <f>'CALCOLO COORD DI PLESSO'!D10</f>
        <v>488.01933333333329</v>
      </c>
      <c r="C22" s="27"/>
      <c r="D22" s="36">
        <v>2</v>
      </c>
      <c r="E22" s="37">
        <f t="shared" si="0"/>
        <v>244.00966666666665</v>
      </c>
      <c r="F22" s="157"/>
      <c r="G22" s="195"/>
    </row>
    <row r="23" spans="1:9" x14ac:dyDescent="0.25">
      <c r="A23" s="126" t="s">
        <v>82</v>
      </c>
      <c r="B23" s="328">
        <f>'CALCOLO COORD DI PLESSO'!E10</f>
        <v>1202.0773333333332</v>
      </c>
      <c r="C23" s="27"/>
      <c r="D23" s="36">
        <v>1</v>
      </c>
      <c r="E23" s="37">
        <f t="shared" si="0"/>
        <v>1202.0773333333332</v>
      </c>
      <c r="F23" s="157"/>
    </row>
    <row r="24" spans="1:9" x14ac:dyDescent="0.25">
      <c r="A24" s="126" t="s">
        <v>83</v>
      </c>
      <c r="B24" s="328">
        <f>'CALCOLO COORD DI PLESSO'!F10</f>
        <v>1202.0773333333332</v>
      </c>
      <c r="C24" s="27"/>
      <c r="D24" s="36">
        <v>2</v>
      </c>
      <c r="E24" s="37">
        <f t="shared" si="0"/>
        <v>601.03866666666659</v>
      </c>
      <c r="F24" s="157"/>
    </row>
    <row r="25" spans="1:9" x14ac:dyDescent="0.25">
      <c r="A25" s="126" t="s">
        <v>84</v>
      </c>
      <c r="B25" s="328">
        <f>'CALCOLO COORD DI PLESSO'!G10</f>
        <v>845.0483333333334</v>
      </c>
      <c r="C25" s="27"/>
      <c r="D25" s="36">
        <v>3</v>
      </c>
      <c r="E25" s="37">
        <f t="shared" si="0"/>
        <v>281.6827777777778</v>
      </c>
      <c r="F25" s="157"/>
    </row>
    <row r="26" spans="1:9" x14ac:dyDescent="0.25">
      <c r="A26" s="126" t="s">
        <v>85</v>
      </c>
      <c r="B26" s="328">
        <f>'CALCOLO COORD DI PLESSO'!H10</f>
        <v>845.0483333333334</v>
      </c>
      <c r="C26" s="27"/>
      <c r="D26" s="36">
        <v>1</v>
      </c>
      <c r="E26" s="37">
        <f t="shared" si="0"/>
        <v>845.0483333333334</v>
      </c>
      <c r="F26" s="157"/>
    </row>
    <row r="27" spans="1:9" x14ac:dyDescent="0.25">
      <c r="A27" s="126" t="s">
        <v>86</v>
      </c>
      <c r="B27" s="328">
        <f>'CALCOLO COORD DI PLESSO'!I10</f>
        <v>1202.0773333333332</v>
      </c>
      <c r="C27" s="27"/>
      <c r="D27" s="36">
        <v>2</v>
      </c>
      <c r="E27" s="37">
        <f t="shared" si="0"/>
        <v>601.03866666666659</v>
      </c>
      <c r="F27" s="157"/>
    </row>
    <row r="28" spans="1:9" x14ac:dyDescent="0.25">
      <c r="A28" s="126" t="s">
        <v>87</v>
      </c>
      <c r="B28" s="328">
        <f>'CALCOLO COORD DI PLESSO'!J10</f>
        <v>2511.1836666666663</v>
      </c>
      <c r="C28" s="27"/>
      <c r="D28" s="36">
        <v>3</v>
      </c>
      <c r="E28" s="37">
        <f t="shared" si="0"/>
        <v>837.06122222222211</v>
      </c>
      <c r="F28" s="157"/>
    </row>
    <row r="29" spans="1:9" x14ac:dyDescent="0.25">
      <c r="A29" s="127" t="s">
        <v>88</v>
      </c>
      <c r="B29" s="328">
        <v>2080</v>
      </c>
      <c r="C29" s="27"/>
      <c r="D29" s="36">
        <v>26</v>
      </c>
      <c r="E29" s="37">
        <f t="shared" si="0"/>
        <v>80</v>
      </c>
      <c r="F29" s="157"/>
    </row>
    <row r="30" spans="1:9" x14ac:dyDescent="0.25">
      <c r="A30" s="127" t="s">
        <v>89</v>
      </c>
      <c r="B30" s="328">
        <v>420</v>
      </c>
      <c r="C30" s="27"/>
      <c r="D30" s="39">
        <v>7</v>
      </c>
      <c r="E30" s="37">
        <f t="shared" si="0"/>
        <v>60</v>
      </c>
      <c r="F30" s="157"/>
    </row>
    <row r="31" spans="1:9" x14ac:dyDescent="0.25">
      <c r="A31" s="178" t="s">
        <v>194</v>
      </c>
      <c r="B31" s="328">
        <v>1200</v>
      </c>
      <c r="C31" s="27"/>
      <c r="D31" s="148">
        <v>2</v>
      </c>
      <c r="E31" s="37">
        <f t="shared" si="0"/>
        <v>600</v>
      </c>
      <c r="F31" s="157"/>
    </row>
    <row r="32" spans="1:9" x14ac:dyDescent="0.25">
      <c r="A32" s="177" t="s">
        <v>125</v>
      </c>
      <c r="B32" s="328">
        <f>'CALCOLO DOCENTI SCUOLA SICURA'!B7</f>
        <v>30</v>
      </c>
      <c r="C32" s="27"/>
      <c r="D32" s="148">
        <v>1</v>
      </c>
      <c r="E32" s="37">
        <f t="shared" si="0"/>
        <v>30</v>
      </c>
      <c r="F32" s="157"/>
    </row>
    <row r="33" spans="1:7" x14ac:dyDescent="0.25">
      <c r="A33" s="196" t="s">
        <v>126</v>
      </c>
      <c r="B33" s="328">
        <f>'CALCOLO DOCENTI SCUOLA SICURA'!C7</f>
        <v>45</v>
      </c>
      <c r="C33" s="27"/>
      <c r="D33" s="148">
        <v>1</v>
      </c>
      <c r="E33" s="37">
        <f t="shared" si="0"/>
        <v>45</v>
      </c>
      <c r="F33" s="157"/>
      <c r="G33" s="195"/>
    </row>
    <row r="34" spans="1:7" x14ac:dyDescent="0.25">
      <c r="A34" s="196" t="s">
        <v>127</v>
      </c>
      <c r="B34" s="328">
        <f>'CALCOLO DOCENTI SCUOLA SICURA'!D7</f>
        <v>30</v>
      </c>
      <c r="C34" s="27"/>
      <c r="D34" s="148">
        <v>1</v>
      </c>
      <c r="E34" s="37">
        <f t="shared" si="0"/>
        <v>30</v>
      </c>
      <c r="F34" s="157"/>
    </row>
    <row r="35" spans="1:7" x14ac:dyDescent="0.25">
      <c r="A35" s="176" t="s">
        <v>128</v>
      </c>
      <c r="B35" s="328">
        <f>'CALCOLO DOCENTI SCUOLA SICURA'!E7</f>
        <v>120</v>
      </c>
      <c r="C35" s="27"/>
      <c r="D35" s="148">
        <v>3</v>
      </c>
      <c r="E35" s="37">
        <f t="shared" si="0"/>
        <v>40</v>
      </c>
      <c r="F35" s="157"/>
    </row>
    <row r="36" spans="1:7" x14ac:dyDescent="0.25">
      <c r="A36" s="176" t="s">
        <v>129</v>
      </c>
      <c r="B36" s="328">
        <f>'CALCOLO DOCENTI SCUOLA SICURA'!F7</f>
        <v>120</v>
      </c>
      <c r="C36" s="27"/>
      <c r="D36" s="148">
        <v>1</v>
      </c>
      <c r="E36" s="37">
        <f t="shared" si="0"/>
        <v>120</v>
      </c>
      <c r="F36" s="157"/>
    </row>
    <row r="37" spans="1:7" x14ac:dyDescent="0.25">
      <c r="A37" s="176" t="s">
        <v>130</v>
      </c>
      <c r="B37" s="328">
        <f>'CALCOLO DOCENTI SCUOLA SICURA'!G7</f>
        <v>75</v>
      </c>
      <c r="C37" s="27"/>
      <c r="D37" s="148">
        <v>1</v>
      </c>
      <c r="E37" s="37">
        <f t="shared" si="0"/>
        <v>75</v>
      </c>
      <c r="F37" s="157"/>
    </row>
    <row r="38" spans="1:7" x14ac:dyDescent="0.25">
      <c r="A38" s="176" t="s">
        <v>131</v>
      </c>
      <c r="B38" s="328">
        <f>'CALCOLO DOCENTI SCUOLA SICURA'!H7</f>
        <v>75</v>
      </c>
      <c r="C38" s="27"/>
      <c r="D38" s="148">
        <v>2</v>
      </c>
      <c r="E38" s="37">
        <f t="shared" si="0"/>
        <v>37.5</v>
      </c>
      <c r="F38" s="157"/>
    </row>
    <row r="39" spans="1:7" x14ac:dyDescent="0.25">
      <c r="A39" s="176" t="s">
        <v>132</v>
      </c>
      <c r="B39" s="328">
        <f>'CALCOLO DOCENTI SCUOLA SICURA'!I7</f>
        <v>120</v>
      </c>
      <c r="C39" s="27"/>
      <c r="D39" s="148">
        <v>1</v>
      </c>
      <c r="E39" s="37">
        <f t="shared" si="0"/>
        <v>120</v>
      </c>
      <c r="F39" s="157"/>
    </row>
    <row r="40" spans="1:7" x14ac:dyDescent="0.25">
      <c r="A40" s="176" t="s">
        <v>133</v>
      </c>
      <c r="B40" s="328">
        <f>'CALCOLO DOCENTI SCUOLA SICURA'!J7</f>
        <v>285</v>
      </c>
      <c r="C40" s="27"/>
      <c r="D40" s="148">
        <v>1</v>
      </c>
      <c r="E40" s="37">
        <f t="shared" si="0"/>
        <v>285</v>
      </c>
      <c r="F40" s="157"/>
    </row>
    <row r="41" spans="1:7" ht="90.75" x14ac:dyDescent="0.25">
      <c r="A41" s="129" t="s">
        <v>134</v>
      </c>
      <c r="B41" s="27">
        <v>900</v>
      </c>
      <c r="C41" s="172" t="s">
        <v>135</v>
      </c>
      <c r="D41" s="148">
        <v>10</v>
      </c>
      <c r="E41" s="314" t="s">
        <v>232</v>
      </c>
      <c r="F41" s="157"/>
    </row>
    <row r="42" spans="1:7" x14ac:dyDescent="0.25">
      <c r="A42" s="258" t="s">
        <v>91</v>
      </c>
      <c r="B42" s="252">
        <v>810</v>
      </c>
      <c r="C42" s="259"/>
      <c r="D42" s="253">
        <v>9</v>
      </c>
      <c r="E42" s="37">
        <f t="shared" si="0"/>
        <v>90</v>
      </c>
      <c r="F42" s="157"/>
    </row>
    <row r="43" spans="1:7" x14ac:dyDescent="0.25">
      <c r="A43" s="258" t="s">
        <v>211</v>
      </c>
      <c r="B43" s="252">
        <v>1000</v>
      </c>
      <c r="C43" s="259"/>
      <c r="D43" s="253">
        <v>5</v>
      </c>
      <c r="E43" s="254">
        <f t="shared" si="0"/>
        <v>200</v>
      </c>
      <c r="F43" s="157"/>
    </row>
    <row r="44" spans="1:7" ht="34.5" x14ac:dyDescent="0.25">
      <c r="A44" s="129" t="s">
        <v>95</v>
      </c>
      <c r="B44" s="328">
        <f>212*19.25</f>
        <v>4081</v>
      </c>
      <c r="C44" s="27"/>
      <c r="D44" s="155" t="s">
        <v>114</v>
      </c>
      <c r="E44" s="173" t="s">
        <v>234</v>
      </c>
      <c r="F44" s="157"/>
    </row>
    <row r="45" spans="1:7" ht="35.25" thickBot="1" x14ac:dyDescent="0.3">
      <c r="A45" s="132" t="s">
        <v>96</v>
      </c>
      <c r="B45" s="329">
        <f>210*38.5</f>
        <v>8085</v>
      </c>
      <c r="C45" s="27"/>
      <c r="D45" s="155" t="s">
        <v>114</v>
      </c>
      <c r="E45" s="173" t="s">
        <v>200</v>
      </c>
      <c r="F45" s="157"/>
    </row>
    <row r="46" spans="1:7" ht="16.5" thickBot="1" x14ac:dyDescent="0.3">
      <c r="A46" s="149" t="s">
        <v>8</v>
      </c>
      <c r="B46" s="43">
        <f>SUM(B9:B45)</f>
        <v>38916.58</v>
      </c>
      <c r="C46" s="170"/>
      <c r="D46" s="41"/>
      <c r="F46" s="157"/>
    </row>
    <row r="47" spans="1:7" ht="15.75" x14ac:dyDescent="0.25">
      <c r="A47" s="149"/>
      <c r="B47" s="170"/>
      <c r="C47" s="170"/>
      <c r="D47" s="41"/>
      <c r="F47" s="160"/>
    </row>
    <row r="48" spans="1:7" ht="45" x14ac:dyDescent="0.25">
      <c r="A48" s="232" t="s">
        <v>187</v>
      </c>
      <c r="B48" s="233" t="s">
        <v>113</v>
      </c>
      <c r="C48" s="233"/>
      <c r="D48" s="234" t="s">
        <v>111</v>
      </c>
      <c r="E48" s="235" t="s">
        <v>112</v>
      </c>
      <c r="F48" s="160"/>
    </row>
    <row r="49" spans="1:6" x14ac:dyDescent="0.25">
      <c r="A49" s="178" t="s">
        <v>90</v>
      </c>
      <c r="B49" s="237">
        <v>11910.14</v>
      </c>
      <c r="C49" s="237"/>
      <c r="D49" s="238">
        <v>27</v>
      </c>
      <c r="E49" s="237">
        <f>B49/D49</f>
        <v>441.1162962962963</v>
      </c>
      <c r="F49" s="160"/>
    </row>
    <row r="50" spans="1:6" x14ac:dyDescent="0.25">
      <c r="A50" s="237"/>
      <c r="B50" s="237">
        <v>0</v>
      </c>
      <c r="C50" s="237"/>
      <c r="D50" s="238">
        <v>0</v>
      </c>
      <c r="E50" s="237" t="e">
        <f t="shared" ref="E50:E51" si="1">B50/D50</f>
        <v>#DIV/0!</v>
      </c>
      <c r="F50" s="160"/>
    </row>
    <row r="51" spans="1:6" x14ac:dyDescent="0.25">
      <c r="A51" s="236"/>
      <c r="B51" s="237">
        <v>0</v>
      </c>
      <c r="C51" s="237"/>
      <c r="D51" s="238">
        <v>0</v>
      </c>
      <c r="E51" s="237" t="e">
        <f t="shared" si="1"/>
        <v>#DIV/0!</v>
      </c>
      <c r="F51" s="160"/>
    </row>
    <row r="52" spans="1:6" ht="16.5" thickBot="1" x14ac:dyDescent="0.3">
      <c r="A52" s="193" t="s">
        <v>8</v>
      </c>
      <c r="B52" s="231">
        <f>SUM(B49:B51)</f>
        <v>11910.14</v>
      </c>
      <c r="C52" s="170"/>
      <c r="F52" s="160"/>
    </row>
    <row r="53" spans="1:6" ht="15.75" x14ac:dyDescent="0.25">
      <c r="A53" s="149"/>
      <c r="B53" s="170"/>
      <c r="C53" s="170"/>
      <c r="D53" s="41"/>
      <c r="F53" s="160"/>
    </row>
    <row r="54" spans="1:6" ht="15.75" x14ac:dyDescent="0.25">
      <c r="A54" s="149"/>
      <c r="B54" s="170"/>
      <c r="C54" s="170"/>
      <c r="D54" s="41"/>
      <c r="F54" s="160"/>
    </row>
    <row r="55" spans="1:6" x14ac:dyDescent="0.25">
      <c r="A55" s="40"/>
      <c r="B55" s="42"/>
      <c r="C55" s="42"/>
      <c r="D55" s="41"/>
      <c r="E55" s="44"/>
      <c r="F55" s="161"/>
    </row>
    <row r="56" spans="1:6" ht="45" x14ac:dyDescent="0.25">
      <c r="A56" s="45" t="s">
        <v>14</v>
      </c>
      <c r="B56" s="131" t="s">
        <v>113</v>
      </c>
      <c r="C56" s="131"/>
      <c r="D56" s="146" t="s">
        <v>111</v>
      </c>
      <c r="E56" s="150" t="s">
        <v>112</v>
      </c>
      <c r="F56" s="161"/>
    </row>
    <row r="57" spans="1:6" x14ac:dyDescent="0.25">
      <c r="A57" s="128" t="s">
        <v>97</v>
      </c>
      <c r="B57" s="35">
        <v>3000</v>
      </c>
      <c r="C57" s="35"/>
      <c r="D57" s="36">
        <v>3</v>
      </c>
      <c r="E57" s="35">
        <f>B57/D57</f>
        <v>1000</v>
      </c>
      <c r="F57" s="160"/>
    </row>
    <row r="58" spans="1:6" x14ac:dyDescent="0.25">
      <c r="A58" s="128" t="s">
        <v>205</v>
      </c>
      <c r="B58" s="35">
        <v>850</v>
      </c>
      <c r="C58" s="35"/>
      <c r="D58" s="36">
        <v>1</v>
      </c>
      <c r="E58" s="35">
        <f t="shared" ref="E58:E59" si="2">B58/D58</f>
        <v>850</v>
      </c>
    </row>
    <row r="59" spans="1:6" ht="15.75" thickBot="1" x14ac:dyDescent="0.3">
      <c r="A59" s="128" t="s">
        <v>94</v>
      </c>
      <c r="B59" s="35">
        <v>2400</v>
      </c>
      <c r="C59" s="35"/>
      <c r="D59" s="36">
        <v>3</v>
      </c>
      <c r="E59" s="35">
        <f t="shared" si="2"/>
        <v>800</v>
      </c>
      <c r="F59" s="160"/>
    </row>
    <row r="60" spans="1:6" ht="16.5" thickBot="1" x14ac:dyDescent="0.3">
      <c r="A60" s="193" t="s">
        <v>8</v>
      </c>
      <c r="B60" s="43">
        <f>SUM(B57:B59)</f>
        <v>6250</v>
      </c>
      <c r="C60" s="170"/>
      <c r="F60" s="160"/>
    </row>
    <row r="61" spans="1:6" x14ac:dyDescent="0.25">
      <c r="F61" s="161"/>
    </row>
    <row r="62" spans="1:6" x14ac:dyDescent="0.25">
      <c r="A62" s="45" t="s">
        <v>15</v>
      </c>
      <c r="F62" s="161"/>
    </row>
    <row r="63" spans="1:6" ht="45" x14ac:dyDescent="0.25">
      <c r="A63" s="46"/>
      <c r="B63" s="133" t="s">
        <v>113</v>
      </c>
      <c r="C63" s="133"/>
      <c r="D63" s="151" t="s">
        <v>111</v>
      </c>
      <c r="E63" s="150" t="s">
        <v>112</v>
      </c>
      <c r="F63" s="161"/>
    </row>
    <row r="64" spans="1:6" x14ac:dyDescent="0.25">
      <c r="A64" s="159" t="s">
        <v>115</v>
      </c>
      <c r="B64" s="27">
        <v>1120.72</v>
      </c>
      <c r="C64" s="27"/>
      <c r="D64" s="155">
        <v>4</v>
      </c>
      <c r="E64" s="27">
        <f>B64/D64</f>
        <v>280.18</v>
      </c>
      <c r="F64" s="21"/>
    </row>
    <row r="65" spans="1:6" x14ac:dyDescent="0.25">
      <c r="A65" s="316" t="s">
        <v>233</v>
      </c>
      <c r="B65" s="130">
        <v>500</v>
      </c>
      <c r="C65" s="130"/>
      <c r="D65" s="315">
        <v>1</v>
      </c>
      <c r="E65" s="27">
        <f>B65/D65</f>
        <v>500</v>
      </c>
      <c r="F65" s="21"/>
    </row>
    <row r="66" spans="1:6" ht="15.75" thickBot="1" x14ac:dyDescent="0.3">
      <c r="A66" s="124" t="s">
        <v>92</v>
      </c>
      <c r="B66" s="27">
        <v>324.14</v>
      </c>
      <c r="C66" s="27"/>
      <c r="D66" s="155">
        <v>1</v>
      </c>
      <c r="E66" s="27">
        <f>B66/D66</f>
        <v>324.14</v>
      </c>
      <c r="F66" s="21"/>
    </row>
    <row r="67" spans="1:6" ht="16.5" thickBot="1" x14ac:dyDescent="0.3">
      <c r="B67" s="61">
        <f>B64+B66+B65</f>
        <v>1944.8600000000001</v>
      </c>
      <c r="C67" s="171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"/>
  <sheetViews>
    <sheetView workbookViewId="0">
      <selection activeCell="P20" sqref="P20"/>
    </sheetView>
  </sheetViews>
  <sheetFormatPr defaultRowHeight="15" x14ac:dyDescent="0.25"/>
  <cols>
    <col min="1" max="1" width="9.140625" customWidth="1"/>
    <col min="2" max="2" width="15.7109375" customWidth="1"/>
    <col min="3" max="3" width="11.5703125" bestFit="1" customWidth="1"/>
    <col min="4" max="4" width="10.5703125" bestFit="1" customWidth="1"/>
    <col min="5" max="6" width="11.5703125" bestFit="1" customWidth="1"/>
    <col min="7" max="7" width="13" customWidth="1"/>
    <col min="8" max="8" width="12" bestFit="1" customWidth="1"/>
    <col min="9" max="11" width="11.5703125" bestFit="1" customWidth="1"/>
    <col min="14" max="14" width="11" bestFit="1" customWidth="1"/>
  </cols>
  <sheetData>
    <row r="1" spans="1:14" x14ac:dyDescent="0.25">
      <c r="A1" s="292" t="s">
        <v>138</v>
      </c>
      <c r="B1" s="292"/>
      <c r="C1" s="292"/>
    </row>
    <row r="2" spans="1:14" x14ac:dyDescent="0.25">
      <c r="A2" s="294" t="s">
        <v>193</v>
      </c>
      <c r="B2" s="295"/>
      <c r="C2" s="48">
        <f>'MOF DISPONIBILE'!J36</f>
        <v>5338.18</v>
      </c>
    </row>
    <row r="3" spans="1:14" x14ac:dyDescent="0.25">
      <c r="H3" t="s">
        <v>195</v>
      </c>
      <c r="I3" t="s">
        <v>196</v>
      </c>
    </row>
    <row r="4" spans="1:14" x14ac:dyDescent="0.25">
      <c r="A4" s="291" t="s">
        <v>16</v>
      </c>
      <c r="B4" s="291"/>
      <c r="C4" s="245">
        <f>I4/90</f>
        <v>19.536148148148147</v>
      </c>
      <c r="D4" t="s">
        <v>197</v>
      </c>
      <c r="H4" s="49">
        <v>21099.040000000001</v>
      </c>
      <c r="I4" s="50">
        <f>H4/12</f>
        <v>1758.2533333333333</v>
      </c>
    </row>
    <row r="5" spans="1:14" x14ac:dyDescent="0.25">
      <c r="A5" s="291" t="s">
        <v>17</v>
      </c>
      <c r="B5" s="291"/>
      <c r="C5" s="245">
        <f>I5/87</f>
        <v>20.209808429118773</v>
      </c>
      <c r="D5" t="s">
        <v>198</v>
      </c>
      <c r="F5" s="49"/>
      <c r="H5" s="49">
        <v>21099.040000000001</v>
      </c>
      <c r="I5" s="50">
        <f t="shared" ref="I5:I6" si="0">H5/12</f>
        <v>1758.2533333333333</v>
      </c>
    </row>
    <row r="6" spans="1:14" x14ac:dyDescent="0.25">
      <c r="A6" s="291" t="s">
        <v>18</v>
      </c>
      <c r="B6" s="291"/>
      <c r="C6" s="49">
        <f>I6/65</f>
        <v>29.279333333333334</v>
      </c>
      <c r="D6" t="s">
        <v>199</v>
      </c>
      <c r="F6" s="49"/>
      <c r="H6" s="49">
        <v>22837.88</v>
      </c>
      <c r="I6" s="50">
        <f t="shared" si="0"/>
        <v>1903.1566666666668</v>
      </c>
    </row>
    <row r="9" spans="1:14" x14ac:dyDescent="0.25">
      <c r="A9" s="291" t="s">
        <v>19</v>
      </c>
      <c r="B9" s="291"/>
      <c r="C9" s="242" t="s">
        <v>20</v>
      </c>
      <c r="D9" s="242" t="s">
        <v>22</v>
      </c>
      <c r="E9" s="242" t="s">
        <v>21</v>
      </c>
      <c r="F9" s="242" t="s">
        <v>153</v>
      </c>
      <c r="G9" s="242" t="s">
        <v>23</v>
      </c>
      <c r="H9" s="242" t="s">
        <v>24</v>
      </c>
      <c r="I9" s="242" t="s">
        <v>25</v>
      </c>
      <c r="J9" s="242" t="s">
        <v>27</v>
      </c>
      <c r="K9" s="242" t="s">
        <v>26</v>
      </c>
    </row>
    <row r="10" spans="1:14" x14ac:dyDescent="0.25">
      <c r="A10" s="293" t="s">
        <v>123</v>
      </c>
      <c r="B10" s="293"/>
      <c r="C10" s="198">
        <v>2</v>
      </c>
      <c r="D10" s="198">
        <v>3</v>
      </c>
      <c r="E10" s="198">
        <v>2</v>
      </c>
      <c r="F10" s="198">
        <v>8</v>
      </c>
      <c r="G10" s="198">
        <v>8</v>
      </c>
      <c r="H10" s="198">
        <v>5</v>
      </c>
      <c r="I10" s="198">
        <v>5</v>
      </c>
      <c r="J10" s="198">
        <v>8</v>
      </c>
      <c r="K10" s="198">
        <v>19</v>
      </c>
      <c r="M10" t="s">
        <v>13</v>
      </c>
      <c r="N10" s="184">
        <f>SUM(C10:K10)</f>
        <v>60</v>
      </c>
    </row>
    <row r="11" spans="1:14" x14ac:dyDescent="0.25">
      <c r="N11" s="198"/>
    </row>
    <row r="12" spans="1:14" ht="36" customHeight="1" x14ac:dyDescent="0.25">
      <c r="A12" s="317" t="s">
        <v>236</v>
      </c>
      <c r="B12" s="299"/>
      <c r="C12" s="50">
        <f>$C2*C10/$N10</f>
        <v>177.93933333333334</v>
      </c>
      <c r="D12" s="50">
        <f t="shared" ref="D12:K12" si="1">$C2*D10/$N10</f>
        <v>266.90899999999999</v>
      </c>
      <c r="E12" s="50">
        <f t="shared" si="1"/>
        <v>177.93933333333334</v>
      </c>
      <c r="F12" s="50">
        <f t="shared" si="1"/>
        <v>711.75733333333335</v>
      </c>
      <c r="G12" s="50">
        <f t="shared" si="1"/>
        <v>711.75733333333335</v>
      </c>
      <c r="H12" s="50">
        <f t="shared" si="1"/>
        <v>444.84833333333336</v>
      </c>
      <c r="I12" s="50">
        <f t="shared" si="1"/>
        <v>444.84833333333336</v>
      </c>
      <c r="J12" s="50">
        <f t="shared" si="1"/>
        <v>711.75733333333335</v>
      </c>
      <c r="K12" s="50">
        <f t="shared" si="1"/>
        <v>1690.4236666666668</v>
      </c>
      <c r="M12" t="s">
        <v>30</v>
      </c>
      <c r="N12" s="239">
        <f>SUM(C12:K12)</f>
        <v>5338.18</v>
      </c>
    </row>
    <row r="13" spans="1:14" x14ac:dyDescent="0.25">
      <c r="C13" s="300" t="s">
        <v>31</v>
      </c>
      <c r="D13" s="301"/>
      <c r="E13" s="302"/>
      <c r="F13" s="300" t="s">
        <v>32</v>
      </c>
      <c r="G13" s="301"/>
      <c r="H13" s="301"/>
      <c r="I13" s="302"/>
      <c r="J13" s="300" t="s">
        <v>33</v>
      </c>
      <c r="K13" s="302"/>
      <c r="N13" s="198"/>
    </row>
    <row r="14" spans="1:14" ht="33" customHeight="1" x14ac:dyDescent="0.25">
      <c r="A14" s="303" t="s">
        <v>34</v>
      </c>
      <c r="B14" s="303"/>
      <c r="C14" s="51">
        <f>C12/$C4</f>
        <v>9.1082096626197213</v>
      </c>
      <c r="D14" s="51">
        <f t="shared" ref="D14:E14" si="2">D12/$C4</f>
        <v>13.662314493929582</v>
      </c>
      <c r="E14" s="51">
        <f t="shared" si="2"/>
        <v>9.1082096626197213</v>
      </c>
      <c r="F14" s="51">
        <f>F12/$C5</f>
        <v>35.218410695462921</v>
      </c>
      <c r="G14" s="51">
        <f t="shared" ref="G14:I14" si="3">G12/$C5</f>
        <v>35.218410695462921</v>
      </c>
      <c r="H14" s="51">
        <f t="shared" si="3"/>
        <v>22.011506684664329</v>
      </c>
      <c r="I14" s="51">
        <f t="shared" si="3"/>
        <v>22.011506684664329</v>
      </c>
      <c r="J14" s="51">
        <f>J12/$C6</f>
        <v>24.309205583005078</v>
      </c>
      <c r="K14" s="51">
        <f>K12/$C6</f>
        <v>57.734363259637064</v>
      </c>
      <c r="M14" t="s">
        <v>30</v>
      </c>
      <c r="N14" s="250">
        <f>SUM(C14:K14)</f>
        <v>228.38213742206568</v>
      </c>
    </row>
    <row r="15" spans="1:14" x14ac:dyDescent="0.25">
      <c r="C15" s="53"/>
      <c r="D15" s="54"/>
      <c r="E15" s="55"/>
      <c r="F15" s="53"/>
      <c r="G15" s="54"/>
      <c r="H15" s="54"/>
      <c r="I15" s="55"/>
      <c r="J15" s="53"/>
      <c r="K15" s="55"/>
      <c r="N15" s="198"/>
    </row>
    <row r="16" spans="1:14" x14ac:dyDescent="0.25">
      <c r="C16" s="56"/>
      <c r="D16" s="25"/>
      <c r="E16" s="57"/>
      <c r="F16" s="56"/>
      <c r="G16" s="25"/>
      <c r="H16" s="25"/>
      <c r="I16" s="57"/>
      <c r="J16" s="56"/>
      <c r="K16" s="57"/>
      <c r="N16" s="198"/>
    </row>
    <row r="17" spans="2:14" x14ac:dyDescent="0.25">
      <c r="B17" s="303" t="s">
        <v>35</v>
      </c>
      <c r="C17" s="56"/>
      <c r="D17" s="304">
        <f>(C14+D14+E14)*C4</f>
        <v>622.78766666666661</v>
      </c>
      <c r="E17" s="57"/>
      <c r="F17" s="56"/>
      <c r="G17" s="304">
        <f>(F14+G14+H14+I14)*C5</f>
        <v>2313.2113333333332</v>
      </c>
      <c r="H17" s="25"/>
      <c r="I17" s="57"/>
      <c r="J17" s="306">
        <f>(J14+K14)*C6</f>
        <v>2402.1810000000005</v>
      </c>
      <c r="K17" s="57"/>
      <c r="M17" s="296" t="s">
        <v>8</v>
      </c>
      <c r="N17" s="297">
        <f>D17+G17+J17</f>
        <v>5338.18</v>
      </c>
    </row>
    <row r="18" spans="2:14" x14ac:dyDescent="0.25">
      <c r="B18" s="303"/>
      <c r="C18" s="58"/>
      <c r="D18" s="305"/>
      <c r="E18" s="59"/>
      <c r="F18" s="58"/>
      <c r="G18" s="305"/>
      <c r="H18" s="60"/>
      <c r="I18" s="59"/>
      <c r="J18" s="307"/>
      <c r="K18" s="59"/>
      <c r="M18" s="296"/>
      <c r="N18" s="298"/>
    </row>
  </sheetData>
  <mergeCells count="18">
    <mergeCell ref="N17:N18"/>
    <mergeCell ref="A12:B12"/>
    <mergeCell ref="C13:E13"/>
    <mergeCell ref="F13:I13"/>
    <mergeCell ref="J13:K13"/>
    <mergeCell ref="A14:B14"/>
    <mergeCell ref="B17:B18"/>
    <mergeCell ref="D17:D18"/>
    <mergeCell ref="G17:G18"/>
    <mergeCell ref="J17:J18"/>
    <mergeCell ref="A9:B9"/>
    <mergeCell ref="A1:C1"/>
    <mergeCell ref="A10:B10"/>
    <mergeCell ref="A2:B2"/>
    <mergeCell ref="M17:M18"/>
    <mergeCell ref="A4:B4"/>
    <mergeCell ref="A5:B5"/>
    <mergeCell ref="A6:B6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8"/>
  <sheetViews>
    <sheetView zoomScaleNormal="100" workbookViewId="0">
      <selection activeCell="G12" sqref="G12"/>
    </sheetView>
  </sheetViews>
  <sheetFormatPr defaultRowHeight="15" x14ac:dyDescent="0.25"/>
  <cols>
    <col min="1" max="1" width="45.7109375" customWidth="1"/>
    <col min="2" max="2" width="13.42578125" bestFit="1" customWidth="1"/>
    <col min="3" max="4" width="15.7109375" customWidth="1"/>
    <col min="5" max="5" width="14.7109375" bestFit="1" customWidth="1"/>
    <col min="6" max="6" width="13.42578125" bestFit="1" customWidth="1"/>
    <col min="12" max="12" width="10.85546875" bestFit="1" customWidth="1"/>
  </cols>
  <sheetData>
    <row r="1" spans="1:6" ht="19.5" x14ac:dyDescent="0.35">
      <c r="A1" s="62" t="s">
        <v>36</v>
      </c>
    </row>
    <row r="2" spans="1:6" x14ac:dyDescent="0.25">
      <c r="B2" s="32" t="s">
        <v>11</v>
      </c>
      <c r="C2" s="32" t="s">
        <v>12</v>
      </c>
      <c r="D2" s="32" t="s">
        <v>118</v>
      </c>
    </row>
    <row r="3" spans="1:6" x14ac:dyDescent="0.25">
      <c r="A3" s="63" t="s">
        <v>201</v>
      </c>
      <c r="B3" s="33">
        <f>'MOF DISPONIBILE'!F36</f>
        <v>18471.02</v>
      </c>
      <c r="C3" s="33">
        <f>B15+B30</f>
        <v>18471.020000000004</v>
      </c>
      <c r="D3" s="162">
        <f>B3-C3</f>
        <v>0</v>
      </c>
      <c r="E3" s="50"/>
    </row>
    <row r="4" spans="1:6" x14ac:dyDescent="0.25">
      <c r="A4" s="63" t="s">
        <v>202</v>
      </c>
      <c r="B4" s="239">
        <f>'MOF DISPONIBILE'!G36</f>
        <v>5104.3500000000004</v>
      </c>
      <c r="C4" s="239">
        <f>B35+B38</f>
        <v>5104.3500000000004</v>
      </c>
      <c r="D4" s="162">
        <f>B4-C4</f>
        <v>0</v>
      </c>
      <c r="E4" s="50"/>
    </row>
    <row r="5" spans="1:6" x14ac:dyDescent="0.25">
      <c r="A5" s="63" t="s">
        <v>37</v>
      </c>
      <c r="B5" s="33">
        <f>'MOF DISPONIBILE'!H36</f>
        <v>4341.58</v>
      </c>
      <c r="C5" s="167">
        <f>B45+B53</f>
        <v>4341.58</v>
      </c>
      <c r="D5" s="162">
        <f>B5-C5</f>
        <v>0</v>
      </c>
      <c r="E5" s="50"/>
    </row>
    <row r="7" spans="1:6" ht="81.75" customHeight="1" x14ac:dyDescent="0.25">
      <c r="A7" s="249" t="s">
        <v>203</v>
      </c>
      <c r="B7" s="133" t="s">
        <v>113</v>
      </c>
      <c r="C7" s="180" t="s">
        <v>152</v>
      </c>
      <c r="D7" s="133" t="s">
        <v>117</v>
      </c>
      <c r="E7" s="156"/>
      <c r="F7" s="154"/>
    </row>
    <row r="8" spans="1:6" x14ac:dyDescent="0.25">
      <c r="A8" s="141" t="s">
        <v>99</v>
      </c>
      <c r="B8" s="47"/>
      <c r="C8" s="134"/>
      <c r="D8" s="38"/>
    </row>
    <row r="9" spans="1:6" ht="26.25" x14ac:dyDescent="0.25">
      <c r="A9" s="136" t="s">
        <v>216</v>
      </c>
      <c r="B9" s="124">
        <v>500</v>
      </c>
      <c r="C9" s="179">
        <v>1</v>
      </c>
      <c r="D9" s="38">
        <f t="shared" ref="D9:D13" si="0">B9/C9</f>
        <v>500</v>
      </c>
    </row>
    <row r="10" spans="1:6" ht="34.5" x14ac:dyDescent="0.25">
      <c r="A10" s="139" t="s">
        <v>217</v>
      </c>
      <c r="B10" s="124">
        <v>1000</v>
      </c>
      <c r="C10" s="179">
        <v>2</v>
      </c>
      <c r="D10" s="38">
        <f t="shared" si="0"/>
        <v>500</v>
      </c>
    </row>
    <row r="11" spans="1:6" ht="26.25" x14ac:dyDescent="0.25">
      <c r="A11" s="136" t="s">
        <v>218</v>
      </c>
      <c r="B11" s="124">
        <v>300</v>
      </c>
      <c r="C11" s="179">
        <v>1</v>
      </c>
      <c r="D11" s="38">
        <f t="shared" si="0"/>
        <v>300</v>
      </c>
    </row>
    <row r="12" spans="1:6" ht="24" x14ac:dyDescent="0.25">
      <c r="A12" s="140" t="s">
        <v>219</v>
      </c>
      <c r="B12" s="124">
        <v>1500</v>
      </c>
      <c r="C12" s="179">
        <v>3</v>
      </c>
      <c r="D12" s="38">
        <f t="shared" si="0"/>
        <v>500</v>
      </c>
    </row>
    <row r="13" spans="1:6" ht="48" x14ac:dyDescent="0.25">
      <c r="A13" s="140" t="s">
        <v>220</v>
      </c>
      <c r="B13" s="124">
        <v>400</v>
      </c>
      <c r="C13" s="179">
        <v>1</v>
      </c>
      <c r="D13" s="38">
        <f t="shared" si="0"/>
        <v>400</v>
      </c>
    </row>
    <row r="14" spans="1:6" ht="35.25" thickBot="1" x14ac:dyDescent="0.3">
      <c r="A14" s="136" t="s">
        <v>110</v>
      </c>
      <c r="B14" s="166">
        <v>957</v>
      </c>
      <c r="C14" s="137" t="s">
        <v>114</v>
      </c>
      <c r="D14" s="173" t="s">
        <v>227</v>
      </c>
    </row>
    <row r="15" spans="1:6" ht="16.5" thickBot="1" x14ac:dyDescent="0.3">
      <c r="A15" s="164" t="s">
        <v>8</v>
      </c>
      <c r="B15" s="165">
        <f>SUM(B9:B14)</f>
        <v>4657</v>
      </c>
      <c r="D15" s="191"/>
    </row>
    <row r="16" spans="1:6" x14ac:dyDescent="0.25">
      <c r="A16" s="141" t="s">
        <v>100</v>
      </c>
    </row>
    <row r="17" spans="1:4" ht="45.75" x14ac:dyDescent="0.25">
      <c r="A17" s="138" t="s">
        <v>139</v>
      </c>
      <c r="B17" s="34">
        <v>1500</v>
      </c>
      <c r="C17" s="163" t="s">
        <v>114</v>
      </c>
      <c r="D17" s="173" t="s">
        <v>151</v>
      </c>
    </row>
    <row r="18" spans="1:4" ht="45.75" x14ac:dyDescent="0.25">
      <c r="A18" s="140" t="s">
        <v>140</v>
      </c>
      <c r="B18" s="34">
        <v>950</v>
      </c>
      <c r="C18" s="163" t="s">
        <v>114</v>
      </c>
      <c r="D18" s="173" t="s">
        <v>151</v>
      </c>
    </row>
    <row r="19" spans="1:4" ht="34.5" x14ac:dyDescent="0.25">
      <c r="A19" s="139" t="s">
        <v>142</v>
      </c>
      <c r="B19" s="280">
        <f>'CALCOLO ATA CS COLLABOR CON DOC'!B7</f>
        <v>278.8006666666667</v>
      </c>
      <c r="C19" s="179">
        <v>2</v>
      </c>
      <c r="D19" s="38">
        <f>B19/C19</f>
        <v>139.40033333333335</v>
      </c>
    </row>
    <row r="20" spans="1:4" ht="34.5" x14ac:dyDescent="0.25">
      <c r="A20" s="139" t="s">
        <v>144</v>
      </c>
      <c r="B20" s="280">
        <f>'CALCOLO ATA CS COLLABOR CON DOC'!C7</f>
        <v>418.20100000000002</v>
      </c>
      <c r="C20" s="179">
        <v>2</v>
      </c>
      <c r="D20" s="38">
        <f t="shared" ref="D20:D26" si="1">B20/C20</f>
        <v>209.10050000000001</v>
      </c>
    </row>
    <row r="21" spans="1:4" ht="34.5" x14ac:dyDescent="0.25">
      <c r="A21" s="139" t="s">
        <v>143</v>
      </c>
      <c r="B21" s="280">
        <f>'CALCOLO ATA CS COLLABOR CON DOC'!D7</f>
        <v>278.8006666666667</v>
      </c>
      <c r="C21" s="179">
        <v>2</v>
      </c>
      <c r="D21" s="38">
        <f t="shared" si="1"/>
        <v>139.40033333333335</v>
      </c>
    </row>
    <row r="22" spans="1:4" ht="34.5" x14ac:dyDescent="0.25">
      <c r="A22" s="139" t="s">
        <v>145</v>
      </c>
      <c r="B22" s="280">
        <f>'CALCOLO ATA CS COLLABOR CON DOC'!E7</f>
        <v>1115.2026666666668</v>
      </c>
      <c r="C22" s="179">
        <v>3</v>
      </c>
      <c r="D22" s="38">
        <f t="shared" si="1"/>
        <v>371.73422222222229</v>
      </c>
    </row>
    <row r="23" spans="1:4" ht="34.5" x14ac:dyDescent="0.25">
      <c r="A23" s="139" t="s">
        <v>146</v>
      </c>
      <c r="B23" s="280">
        <f>'CALCOLO ATA CS COLLABOR CON DOC'!F7</f>
        <v>1115.2026666666668</v>
      </c>
      <c r="C23" s="179">
        <v>3</v>
      </c>
      <c r="D23" s="38">
        <f t="shared" si="1"/>
        <v>371.73422222222229</v>
      </c>
    </row>
    <row r="24" spans="1:4" ht="34.5" x14ac:dyDescent="0.25">
      <c r="A24" s="139" t="s">
        <v>147</v>
      </c>
      <c r="B24" s="280">
        <f>'CALCOLO ATA CS COLLABOR CON DOC'!G7</f>
        <v>697.00166666666678</v>
      </c>
      <c r="C24" s="179">
        <v>2</v>
      </c>
      <c r="D24" s="38">
        <f t="shared" si="1"/>
        <v>348.50083333333339</v>
      </c>
    </row>
    <row r="25" spans="1:4" ht="34.5" x14ac:dyDescent="0.25">
      <c r="A25" s="139" t="s">
        <v>148</v>
      </c>
      <c r="B25" s="280">
        <f>'CALCOLO ATA CS COLLABOR CON DOC'!H7</f>
        <v>697.00166666666678</v>
      </c>
      <c r="C25" s="179">
        <v>2</v>
      </c>
      <c r="D25" s="38">
        <f t="shared" si="1"/>
        <v>348.50083333333339</v>
      </c>
    </row>
    <row r="26" spans="1:4" ht="34.5" x14ac:dyDescent="0.25">
      <c r="A26" s="139" t="s">
        <v>150</v>
      </c>
      <c r="B26" s="280">
        <f>'CALCOLO ATA CS COLLABOR CON DOC'!I7</f>
        <v>1115.2026666666668</v>
      </c>
      <c r="C26" s="179">
        <v>3</v>
      </c>
      <c r="D26" s="38">
        <f t="shared" si="1"/>
        <v>371.73422222222229</v>
      </c>
    </row>
    <row r="27" spans="1:4" ht="34.5" x14ac:dyDescent="0.25">
      <c r="A27" s="139" t="s">
        <v>149</v>
      </c>
      <c r="B27" s="280">
        <f>'CALCOLO ATA CS COLLABOR CON DOC'!J7</f>
        <v>2648.6063333333336</v>
      </c>
      <c r="C27" s="179">
        <v>6</v>
      </c>
      <c r="D27" s="38">
        <f>B27/C27</f>
        <v>441.43438888888892</v>
      </c>
    </row>
    <row r="28" spans="1:4" ht="39" x14ac:dyDescent="0.25">
      <c r="A28" s="273" t="s">
        <v>221</v>
      </c>
      <c r="B28" s="34">
        <v>1500</v>
      </c>
      <c r="C28" s="179">
        <v>6</v>
      </c>
      <c r="D28" s="38">
        <f t="shared" ref="D28:D29" si="2">B28/C28</f>
        <v>250</v>
      </c>
    </row>
    <row r="29" spans="1:4" ht="15.75" thickBot="1" x14ac:dyDescent="0.3">
      <c r="A29" s="142" t="s">
        <v>222</v>
      </c>
      <c r="B29" s="34">
        <v>1500</v>
      </c>
      <c r="C29" s="179">
        <v>6</v>
      </c>
      <c r="D29" s="38">
        <f t="shared" si="2"/>
        <v>250</v>
      </c>
    </row>
    <row r="30" spans="1:4" ht="16.5" thickBot="1" x14ac:dyDescent="0.3">
      <c r="A30" s="164" t="s">
        <v>8</v>
      </c>
      <c r="B30" s="165">
        <f>SUM(B17:B29)</f>
        <v>13814.020000000002</v>
      </c>
      <c r="D30" s="181"/>
    </row>
    <row r="31" spans="1:4" ht="15.75" x14ac:dyDescent="0.25">
      <c r="A31" s="246"/>
      <c r="B31" s="247"/>
      <c r="D31" s="181"/>
    </row>
    <row r="32" spans="1:4" ht="84" x14ac:dyDescent="0.25">
      <c r="A32" s="248" t="s">
        <v>204</v>
      </c>
      <c r="B32" s="133" t="s">
        <v>113</v>
      </c>
      <c r="C32" s="180" t="s">
        <v>152</v>
      </c>
      <c r="D32" s="133" t="s">
        <v>117</v>
      </c>
    </row>
    <row r="33" spans="1:4" x14ac:dyDescent="0.25">
      <c r="A33" s="141" t="s">
        <v>99</v>
      </c>
      <c r="B33" s="47"/>
      <c r="C33" s="134"/>
      <c r="D33" s="38"/>
    </row>
    <row r="34" spans="1:4" ht="15.75" thickBot="1" x14ac:dyDescent="0.3">
      <c r="A34" s="275" t="s">
        <v>98</v>
      </c>
      <c r="B34" s="124">
        <v>4375.6000000000004</v>
      </c>
      <c r="C34" s="179">
        <v>8</v>
      </c>
      <c r="D34" s="38">
        <f>B34/C34</f>
        <v>546.95000000000005</v>
      </c>
    </row>
    <row r="35" spans="1:4" ht="16.5" thickBot="1" x14ac:dyDescent="0.3">
      <c r="A35" s="164" t="s">
        <v>8</v>
      </c>
      <c r="B35" s="165">
        <f>SUM(B34:B34)</f>
        <v>4375.6000000000004</v>
      </c>
      <c r="D35" s="181"/>
    </row>
    <row r="36" spans="1:4" x14ac:dyDescent="0.25">
      <c r="A36" s="141" t="s">
        <v>100</v>
      </c>
    </row>
    <row r="37" spans="1:4" ht="35.25" thickBot="1" x14ac:dyDescent="0.3">
      <c r="A37" s="274" t="s">
        <v>101</v>
      </c>
      <c r="B37" s="34">
        <v>728.75</v>
      </c>
      <c r="C37" s="163" t="s">
        <v>114</v>
      </c>
      <c r="D37" s="173" t="s">
        <v>226</v>
      </c>
    </row>
    <row r="38" spans="1:4" ht="16.5" thickBot="1" x14ac:dyDescent="0.3">
      <c r="A38" s="164" t="s">
        <v>8</v>
      </c>
      <c r="B38" s="165">
        <f>SUM(B37:B37)</f>
        <v>728.75</v>
      </c>
    </row>
    <row r="39" spans="1:4" x14ac:dyDescent="0.25">
      <c r="C39" s="278" t="s">
        <v>228</v>
      </c>
      <c r="D39" s="158">
        <f>(B35+B15)/(C3+C4)</f>
        <v>0.38313714694615608</v>
      </c>
    </row>
    <row r="40" spans="1:4" x14ac:dyDescent="0.25">
      <c r="C40" s="278" t="s">
        <v>229</v>
      </c>
      <c r="D40" s="158">
        <f>(B38+B30)/(C3+C4)</f>
        <v>0.61686285305384392</v>
      </c>
    </row>
    <row r="41" spans="1:4" x14ac:dyDescent="0.25">
      <c r="A41" s="141" t="s">
        <v>102</v>
      </c>
      <c r="B41" s="47"/>
      <c r="C41" s="135"/>
      <c r="D41" s="47"/>
    </row>
    <row r="42" spans="1:4" ht="60.75" x14ac:dyDescent="0.25">
      <c r="A42" s="138" t="s">
        <v>223</v>
      </c>
      <c r="B42" s="27">
        <v>1000</v>
      </c>
      <c r="C42" s="179">
        <v>1</v>
      </c>
      <c r="D42" s="38">
        <f>B42/C42</f>
        <v>1000</v>
      </c>
    </row>
    <row r="43" spans="1:4" ht="24.75" x14ac:dyDescent="0.25">
      <c r="A43" s="271" t="s">
        <v>224</v>
      </c>
      <c r="B43" s="27">
        <v>841.58</v>
      </c>
      <c r="C43" s="272">
        <v>1</v>
      </c>
      <c r="D43" s="38">
        <f>B43/C43</f>
        <v>841.58</v>
      </c>
    </row>
    <row r="44" spans="1:4" ht="37.5" thickBot="1" x14ac:dyDescent="0.3">
      <c r="A44" s="138" t="s">
        <v>225</v>
      </c>
      <c r="B44" s="27">
        <v>250</v>
      </c>
      <c r="C44" s="179">
        <v>1</v>
      </c>
      <c r="D44" s="38">
        <f>B44/C44</f>
        <v>250</v>
      </c>
    </row>
    <row r="45" spans="1:4" ht="16.5" thickBot="1" x14ac:dyDescent="0.3">
      <c r="A45" s="164" t="s">
        <v>8</v>
      </c>
      <c r="B45" s="165">
        <f>SUM(B42:B44)</f>
        <v>2091.58</v>
      </c>
      <c r="C45" s="276"/>
      <c r="D45" s="277"/>
    </row>
    <row r="46" spans="1:4" x14ac:dyDescent="0.25">
      <c r="A46" s="141" t="s">
        <v>103</v>
      </c>
      <c r="D46" s="181"/>
    </row>
    <row r="47" spans="1:4" x14ac:dyDescent="0.25">
      <c r="A47" s="143" t="s">
        <v>104</v>
      </c>
      <c r="B47" s="38">
        <v>150</v>
      </c>
      <c r="C47" s="179">
        <v>1</v>
      </c>
      <c r="D47" s="38">
        <f t="shared" ref="D47:D52" si="3">B47/C47</f>
        <v>150</v>
      </c>
    </row>
    <row r="48" spans="1:4" x14ac:dyDescent="0.25">
      <c r="A48" s="143" t="s">
        <v>105</v>
      </c>
      <c r="B48" s="38">
        <v>150</v>
      </c>
      <c r="C48" s="179">
        <v>1</v>
      </c>
      <c r="D48" s="38">
        <f t="shared" si="3"/>
        <v>150</v>
      </c>
    </row>
    <row r="49" spans="1:6" x14ac:dyDescent="0.25">
      <c r="A49" s="143" t="s">
        <v>106</v>
      </c>
      <c r="B49" s="38">
        <v>600</v>
      </c>
      <c r="C49" s="179">
        <v>4</v>
      </c>
      <c r="D49" s="38">
        <f t="shared" si="3"/>
        <v>150</v>
      </c>
    </row>
    <row r="50" spans="1:6" x14ac:dyDescent="0.25">
      <c r="A50" s="143" t="s">
        <v>107</v>
      </c>
      <c r="B50" s="38">
        <v>450</v>
      </c>
      <c r="C50" s="179">
        <v>3</v>
      </c>
      <c r="D50" s="38">
        <f t="shared" si="3"/>
        <v>150</v>
      </c>
    </row>
    <row r="51" spans="1:6" x14ac:dyDescent="0.25">
      <c r="A51" s="143" t="s">
        <v>108</v>
      </c>
      <c r="B51" s="38">
        <v>450</v>
      </c>
      <c r="C51" s="179">
        <v>3</v>
      </c>
      <c r="D51" s="38">
        <f t="shared" si="3"/>
        <v>150</v>
      </c>
    </row>
    <row r="52" spans="1:6" ht="15.75" thickBot="1" x14ac:dyDescent="0.3">
      <c r="A52" s="143" t="s">
        <v>109</v>
      </c>
      <c r="B52" s="38">
        <v>450</v>
      </c>
      <c r="C52" s="179">
        <v>3</v>
      </c>
      <c r="D52" s="38">
        <f t="shared" si="3"/>
        <v>150</v>
      </c>
    </row>
    <row r="53" spans="1:6" ht="16.5" thickBot="1" x14ac:dyDescent="0.3">
      <c r="A53" s="164" t="s">
        <v>8</v>
      </c>
      <c r="B53" s="165">
        <f>SUM(B47:B52)</f>
        <v>2250</v>
      </c>
    </row>
    <row r="54" spans="1:6" x14ac:dyDescent="0.25">
      <c r="C54" s="278" t="s">
        <v>228</v>
      </c>
      <c r="D54" s="158">
        <f>B45/C5</f>
        <v>0.48175548993684325</v>
      </c>
    </row>
    <row r="55" spans="1:6" x14ac:dyDescent="0.25">
      <c r="C55" s="278" t="s">
        <v>229</v>
      </c>
      <c r="D55" s="158">
        <f>B53/C5</f>
        <v>0.51824451006315675</v>
      </c>
    </row>
    <row r="57" spans="1:6" x14ac:dyDescent="0.25">
      <c r="C57" s="278" t="s">
        <v>230</v>
      </c>
      <c r="D57" s="279">
        <f>AVERAGE(D54,D39)</f>
        <v>0.43244631844149967</v>
      </c>
    </row>
    <row r="58" spans="1:6" x14ac:dyDescent="0.25">
      <c r="C58" s="278" t="s">
        <v>231</v>
      </c>
      <c r="D58" s="279">
        <f>AVERAGE(D55,D40)</f>
        <v>0.56755368155850028</v>
      </c>
      <c r="E58" s="64"/>
      <c r="F58" s="64"/>
    </row>
  </sheetData>
  <pageMargins left="0.7" right="0.7" top="0.75" bottom="0.75" header="0.3" footer="0.3"/>
  <pageSetup paperSize="8" scale="59" orientation="portrait" r:id="rId1"/>
  <ignoredErrors>
    <ignoredError sqref="C46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"/>
  <sheetViews>
    <sheetView topLeftCell="A7" workbookViewId="0">
      <selection activeCell="B24" sqref="B24"/>
    </sheetView>
  </sheetViews>
  <sheetFormatPr defaultRowHeight="15" x14ac:dyDescent="0.25"/>
  <cols>
    <col min="1" max="1" width="57.140625" customWidth="1"/>
    <col min="2" max="2" width="19.28515625" customWidth="1"/>
    <col min="3" max="3" width="6.7109375" customWidth="1"/>
    <col min="4" max="4" width="12.42578125" customWidth="1"/>
    <col min="5" max="5" width="43.85546875" customWidth="1"/>
    <col min="257" max="257" width="57.140625" customWidth="1"/>
    <col min="258" max="258" width="19.28515625" customWidth="1"/>
    <col min="259" max="259" width="6.7109375" customWidth="1"/>
    <col min="260" max="260" width="12.42578125" customWidth="1"/>
    <col min="261" max="261" width="43.85546875" customWidth="1"/>
    <col min="513" max="513" width="57.140625" customWidth="1"/>
    <col min="514" max="514" width="19.28515625" customWidth="1"/>
    <col min="515" max="515" width="6.7109375" customWidth="1"/>
    <col min="516" max="516" width="12.42578125" customWidth="1"/>
    <col min="517" max="517" width="43.85546875" customWidth="1"/>
    <col min="769" max="769" width="57.140625" customWidth="1"/>
    <col min="770" max="770" width="19.28515625" customWidth="1"/>
    <col min="771" max="771" width="6.7109375" customWidth="1"/>
    <col min="772" max="772" width="12.42578125" customWidth="1"/>
    <col min="773" max="773" width="43.85546875" customWidth="1"/>
    <col min="1025" max="1025" width="57.140625" customWidth="1"/>
    <col min="1026" max="1026" width="19.28515625" customWidth="1"/>
    <col min="1027" max="1027" width="6.7109375" customWidth="1"/>
    <col min="1028" max="1028" width="12.42578125" customWidth="1"/>
    <col min="1029" max="1029" width="43.85546875" customWidth="1"/>
    <col min="1281" max="1281" width="57.140625" customWidth="1"/>
    <col min="1282" max="1282" width="19.28515625" customWidth="1"/>
    <col min="1283" max="1283" width="6.7109375" customWidth="1"/>
    <col min="1284" max="1284" width="12.42578125" customWidth="1"/>
    <col min="1285" max="1285" width="43.85546875" customWidth="1"/>
    <col min="1537" max="1537" width="57.140625" customWidth="1"/>
    <col min="1538" max="1538" width="19.28515625" customWidth="1"/>
    <col min="1539" max="1539" width="6.7109375" customWidth="1"/>
    <col min="1540" max="1540" width="12.42578125" customWidth="1"/>
    <col min="1541" max="1541" width="43.85546875" customWidth="1"/>
    <col min="1793" max="1793" width="57.140625" customWidth="1"/>
    <col min="1794" max="1794" width="19.28515625" customWidth="1"/>
    <col min="1795" max="1795" width="6.7109375" customWidth="1"/>
    <col min="1796" max="1796" width="12.42578125" customWidth="1"/>
    <col min="1797" max="1797" width="43.85546875" customWidth="1"/>
    <col min="2049" max="2049" width="57.140625" customWidth="1"/>
    <col min="2050" max="2050" width="19.28515625" customWidth="1"/>
    <col min="2051" max="2051" width="6.7109375" customWidth="1"/>
    <col min="2052" max="2052" width="12.42578125" customWidth="1"/>
    <col min="2053" max="2053" width="43.85546875" customWidth="1"/>
    <col min="2305" max="2305" width="57.140625" customWidth="1"/>
    <col min="2306" max="2306" width="19.28515625" customWidth="1"/>
    <col min="2307" max="2307" width="6.7109375" customWidth="1"/>
    <col min="2308" max="2308" width="12.42578125" customWidth="1"/>
    <col min="2309" max="2309" width="43.85546875" customWidth="1"/>
    <col min="2561" max="2561" width="57.140625" customWidth="1"/>
    <col min="2562" max="2562" width="19.28515625" customWidth="1"/>
    <col min="2563" max="2563" width="6.7109375" customWidth="1"/>
    <col min="2564" max="2564" width="12.42578125" customWidth="1"/>
    <col min="2565" max="2565" width="43.85546875" customWidth="1"/>
    <col min="2817" max="2817" width="57.140625" customWidth="1"/>
    <col min="2818" max="2818" width="19.28515625" customWidth="1"/>
    <col min="2819" max="2819" width="6.7109375" customWidth="1"/>
    <col min="2820" max="2820" width="12.42578125" customWidth="1"/>
    <col min="2821" max="2821" width="43.85546875" customWidth="1"/>
    <col min="3073" max="3073" width="57.140625" customWidth="1"/>
    <col min="3074" max="3074" width="19.28515625" customWidth="1"/>
    <col min="3075" max="3075" width="6.7109375" customWidth="1"/>
    <col min="3076" max="3076" width="12.42578125" customWidth="1"/>
    <col min="3077" max="3077" width="43.85546875" customWidth="1"/>
    <col min="3329" max="3329" width="57.140625" customWidth="1"/>
    <col min="3330" max="3330" width="19.28515625" customWidth="1"/>
    <col min="3331" max="3331" width="6.7109375" customWidth="1"/>
    <col min="3332" max="3332" width="12.42578125" customWidth="1"/>
    <col min="3333" max="3333" width="43.85546875" customWidth="1"/>
    <col min="3585" max="3585" width="57.140625" customWidth="1"/>
    <col min="3586" max="3586" width="19.28515625" customWidth="1"/>
    <col min="3587" max="3587" width="6.7109375" customWidth="1"/>
    <col min="3588" max="3588" width="12.42578125" customWidth="1"/>
    <col min="3589" max="3589" width="43.85546875" customWidth="1"/>
    <col min="3841" max="3841" width="57.140625" customWidth="1"/>
    <col min="3842" max="3842" width="19.28515625" customWidth="1"/>
    <col min="3843" max="3843" width="6.7109375" customWidth="1"/>
    <col min="3844" max="3844" width="12.42578125" customWidth="1"/>
    <col min="3845" max="3845" width="43.85546875" customWidth="1"/>
    <col min="4097" max="4097" width="57.140625" customWidth="1"/>
    <col min="4098" max="4098" width="19.28515625" customWidth="1"/>
    <col min="4099" max="4099" width="6.7109375" customWidth="1"/>
    <col min="4100" max="4100" width="12.42578125" customWidth="1"/>
    <col min="4101" max="4101" width="43.85546875" customWidth="1"/>
    <col min="4353" max="4353" width="57.140625" customWidth="1"/>
    <col min="4354" max="4354" width="19.28515625" customWidth="1"/>
    <col min="4355" max="4355" width="6.7109375" customWidth="1"/>
    <col min="4356" max="4356" width="12.42578125" customWidth="1"/>
    <col min="4357" max="4357" width="43.85546875" customWidth="1"/>
    <col min="4609" max="4609" width="57.140625" customWidth="1"/>
    <col min="4610" max="4610" width="19.28515625" customWidth="1"/>
    <col min="4611" max="4611" width="6.7109375" customWidth="1"/>
    <col min="4612" max="4612" width="12.42578125" customWidth="1"/>
    <col min="4613" max="4613" width="43.85546875" customWidth="1"/>
    <col min="4865" max="4865" width="57.140625" customWidth="1"/>
    <col min="4866" max="4866" width="19.28515625" customWidth="1"/>
    <col min="4867" max="4867" width="6.7109375" customWidth="1"/>
    <col min="4868" max="4868" width="12.42578125" customWidth="1"/>
    <col min="4869" max="4869" width="43.85546875" customWidth="1"/>
    <col min="5121" max="5121" width="57.140625" customWidth="1"/>
    <col min="5122" max="5122" width="19.28515625" customWidth="1"/>
    <col min="5123" max="5123" width="6.7109375" customWidth="1"/>
    <col min="5124" max="5124" width="12.42578125" customWidth="1"/>
    <col min="5125" max="5125" width="43.85546875" customWidth="1"/>
    <col min="5377" max="5377" width="57.140625" customWidth="1"/>
    <col min="5378" max="5378" width="19.28515625" customWidth="1"/>
    <col min="5379" max="5379" width="6.7109375" customWidth="1"/>
    <col min="5380" max="5380" width="12.42578125" customWidth="1"/>
    <col min="5381" max="5381" width="43.85546875" customWidth="1"/>
    <col min="5633" max="5633" width="57.140625" customWidth="1"/>
    <col min="5634" max="5634" width="19.28515625" customWidth="1"/>
    <col min="5635" max="5635" width="6.7109375" customWidth="1"/>
    <col min="5636" max="5636" width="12.42578125" customWidth="1"/>
    <col min="5637" max="5637" width="43.85546875" customWidth="1"/>
    <col min="5889" max="5889" width="57.140625" customWidth="1"/>
    <col min="5890" max="5890" width="19.28515625" customWidth="1"/>
    <col min="5891" max="5891" width="6.7109375" customWidth="1"/>
    <col min="5892" max="5892" width="12.42578125" customWidth="1"/>
    <col min="5893" max="5893" width="43.85546875" customWidth="1"/>
    <col min="6145" max="6145" width="57.140625" customWidth="1"/>
    <col min="6146" max="6146" width="19.28515625" customWidth="1"/>
    <col min="6147" max="6147" width="6.7109375" customWidth="1"/>
    <col min="6148" max="6148" width="12.42578125" customWidth="1"/>
    <col min="6149" max="6149" width="43.85546875" customWidth="1"/>
    <col min="6401" max="6401" width="57.140625" customWidth="1"/>
    <col min="6402" max="6402" width="19.28515625" customWidth="1"/>
    <col min="6403" max="6403" width="6.7109375" customWidth="1"/>
    <col min="6404" max="6404" width="12.42578125" customWidth="1"/>
    <col min="6405" max="6405" width="43.85546875" customWidth="1"/>
    <col min="6657" max="6657" width="57.140625" customWidth="1"/>
    <col min="6658" max="6658" width="19.28515625" customWidth="1"/>
    <col min="6659" max="6659" width="6.7109375" customWidth="1"/>
    <col min="6660" max="6660" width="12.42578125" customWidth="1"/>
    <col min="6661" max="6661" width="43.85546875" customWidth="1"/>
    <col min="6913" max="6913" width="57.140625" customWidth="1"/>
    <col min="6914" max="6914" width="19.28515625" customWidth="1"/>
    <col min="6915" max="6915" width="6.7109375" customWidth="1"/>
    <col min="6916" max="6916" width="12.42578125" customWidth="1"/>
    <col min="6917" max="6917" width="43.85546875" customWidth="1"/>
    <col min="7169" max="7169" width="57.140625" customWidth="1"/>
    <col min="7170" max="7170" width="19.28515625" customWidth="1"/>
    <col min="7171" max="7171" width="6.7109375" customWidth="1"/>
    <col min="7172" max="7172" width="12.42578125" customWidth="1"/>
    <col min="7173" max="7173" width="43.85546875" customWidth="1"/>
    <col min="7425" max="7425" width="57.140625" customWidth="1"/>
    <col min="7426" max="7426" width="19.28515625" customWidth="1"/>
    <col min="7427" max="7427" width="6.7109375" customWidth="1"/>
    <col min="7428" max="7428" width="12.42578125" customWidth="1"/>
    <col min="7429" max="7429" width="43.85546875" customWidth="1"/>
    <col min="7681" max="7681" width="57.140625" customWidth="1"/>
    <col min="7682" max="7682" width="19.28515625" customWidth="1"/>
    <col min="7683" max="7683" width="6.7109375" customWidth="1"/>
    <col min="7684" max="7684" width="12.42578125" customWidth="1"/>
    <col min="7685" max="7685" width="43.85546875" customWidth="1"/>
    <col min="7937" max="7937" width="57.140625" customWidth="1"/>
    <col min="7938" max="7938" width="19.28515625" customWidth="1"/>
    <col min="7939" max="7939" width="6.7109375" customWidth="1"/>
    <col min="7940" max="7940" width="12.42578125" customWidth="1"/>
    <col min="7941" max="7941" width="43.85546875" customWidth="1"/>
    <col min="8193" max="8193" width="57.140625" customWidth="1"/>
    <col min="8194" max="8194" width="19.28515625" customWidth="1"/>
    <col min="8195" max="8195" width="6.7109375" customWidth="1"/>
    <col min="8196" max="8196" width="12.42578125" customWidth="1"/>
    <col min="8197" max="8197" width="43.85546875" customWidth="1"/>
    <col min="8449" max="8449" width="57.140625" customWidth="1"/>
    <col min="8450" max="8450" width="19.28515625" customWidth="1"/>
    <col min="8451" max="8451" width="6.7109375" customWidth="1"/>
    <col min="8452" max="8452" width="12.42578125" customWidth="1"/>
    <col min="8453" max="8453" width="43.85546875" customWidth="1"/>
    <col min="8705" max="8705" width="57.140625" customWidth="1"/>
    <col min="8706" max="8706" width="19.28515625" customWidth="1"/>
    <col min="8707" max="8707" width="6.7109375" customWidth="1"/>
    <col min="8708" max="8708" width="12.42578125" customWidth="1"/>
    <col min="8709" max="8709" width="43.85546875" customWidth="1"/>
    <col min="8961" max="8961" width="57.140625" customWidth="1"/>
    <col min="8962" max="8962" width="19.28515625" customWidth="1"/>
    <col min="8963" max="8963" width="6.7109375" customWidth="1"/>
    <col min="8964" max="8964" width="12.42578125" customWidth="1"/>
    <col min="8965" max="8965" width="43.85546875" customWidth="1"/>
    <col min="9217" max="9217" width="57.140625" customWidth="1"/>
    <col min="9218" max="9218" width="19.28515625" customWidth="1"/>
    <col min="9219" max="9219" width="6.7109375" customWidth="1"/>
    <col min="9220" max="9220" width="12.42578125" customWidth="1"/>
    <col min="9221" max="9221" width="43.85546875" customWidth="1"/>
    <col min="9473" max="9473" width="57.140625" customWidth="1"/>
    <col min="9474" max="9474" width="19.28515625" customWidth="1"/>
    <col min="9475" max="9475" width="6.7109375" customWidth="1"/>
    <col min="9476" max="9476" width="12.42578125" customWidth="1"/>
    <col min="9477" max="9477" width="43.85546875" customWidth="1"/>
    <col min="9729" max="9729" width="57.140625" customWidth="1"/>
    <col min="9730" max="9730" width="19.28515625" customWidth="1"/>
    <col min="9731" max="9731" width="6.7109375" customWidth="1"/>
    <col min="9732" max="9732" width="12.42578125" customWidth="1"/>
    <col min="9733" max="9733" width="43.85546875" customWidth="1"/>
    <col min="9985" max="9985" width="57.140625" customWidth="1"/>
    <col min="9986" max="9986" width="19.28515625" customWidth="1"/>
    <col min="9987" max="9987" width="6.7109375" customWidth="1"/>
    <col min="9988" max="9988" width="12.42578125" customWidth="1"/>
    <col min="9989" max="9989" width="43.85546875" customWidth="1"/>
    <col min="10241" max="10241" width="57.140625" customWidth="1"/>
    <col min="10242" max="10242" width="19.28515625" customWidth="1"/>
    <col min="10243" max="10243" width="6.7109375" customWidth="1"/>
    <col min="10244" max="10244" width="12.42578125" customWidth="1"/>
    <col min="10245" max="10245" width="43.85546875" customWidth="1"/>
    <col min="10497" max="10497" width="57.140625" customWidth="1"/>
    <col min="10498" max="10498" width="19.28515625" customWidth="1"/>
    <col min="10499" max="10499" width="6.7109375" customWidth="1"/>
    <col min="10500" max="10500" width="12.42578125" customWidth="1"/>
    <col min="10501" max="10501" width="43.85546875" customWidth="1"/>
    <col min="10753" max="10753" width="57.140625" customWidth="1"/>
    <col min="10754" max="10754" width="19.28515625" customWidth="1"/>
    <col min="10755" max="10755" width="6.7109375" customWidth="1"/>
    <col min="10756" max="10756" width="12.42578125" customWidth="1"/>
    <col min="10757" max="10757" width="43.85546875" customWidth="1"/>
    <col min="11009" max="11009" width="57.140625" customWidth="1"/>
    <col min="11010" max="11010" width="19.28515625" customWidth="1"/>
    <col min="11011" max="11011" width="6.7109375" customWidth="1"/>
    <col min="11012" max="11012" width="12.42578125" customWidth="1"/>
    <col min="11013" max="11013" width="43.85546875" customWidth="1"/>
    <col min="11265" max="11265" width="57.140625" customWidth="1"/>
    <col min="11266" max="11266" width="19.28515625" customWidth="1"/>
    <col min="11267" max="11267" width="6.7109375" customWidth="1"/>
    <col min="11268" max="11268" width="12.42578125" customWidth="1"/>
    <col min="11269" max="11269" width="43.85546875" customWidth="1"/>
    <col min="11521" max="11521" width="57.140625" customWidth="1"/>
    <col min="11522" max="11522" width="19.28515625" customWidth="1"/>
    <col min="11523" max="11523" width="6.7109375" customWidth="1"/>
    <col min="11524" max="11524" width="12.42578125" customWidth="1"/>
    <col min="11525" max="11525" width="43.85546875" customWidth="1"/>
    <col min="11777" max="11777" width="57.140625" customWidth="1"/>
    <col min="11778" max="11778" width="19.28515625" customWidth="1"/>
    <col min="11779" max="11779" width="6.7109375" customWidth="1"/>
    <col min="11780" max="11780" width="12.42578125" customWidth="1"/>
    <col min="11781" max="11781" width="43.85546875" customWidth="1"/>
    <col min="12033" max="12033" width="57.140625" customWidth="1"/>
    <col min="12034" max="12034" width="19.28515625" customWidth="1"/>
    <col min="12035" max="12035" width="6.7109375" customWidth="1"/>
    <col min="12036" max="12036" width="12.42578125" customWidth="1"/>
    <col min="12037" max="12037" width="43.85546875" customWidth="1"/>
    <col min="12289" max="12289" width="57.140625" customWidth="1"/>
    <col min="12290" max="12290" width="19.28515625" customWidth="1"/>
    <col min="12291" max="12291" width="6.7109375" customWidth="1"/>
    <col min="12292" max="12292" width="12.42578125" customWidth="1"/>
    <col min="12293" max="12293" width="43.85546875" customWidth="1"/>
    <col min="12545" max="12545" width="57.140625" customWidth="1"/>
    <col min="12546" max="12546" width="19.28515625" customWidth="1"/>
    <col min="12547" max="12547" width="6.7109375" customWidth="1"/>
    <col min="12548" max="12548" width="12.42578125" customWidth="1"/>
    <col min="12549" max="12549" width="43.85546875" customWidth="1"/>
    <col min="12801" max="12801" width="57.140625" customWidth="1"/>
    <col min="12802" max="12802" width="19.28515625" customWidth="1"/>
    <col min="12803" max="12803" width="6.7109375" customWidth="1"/>
    <col min="12804" max="12804" width="12.42578125" customWidth="1"/>
    <col min="12805" max="12805" width="43.85546875" customWidth="1"/>
    <col min="13057" max="13057" width="57.140625" customWidth="1"/>
    <col min="13058" max="13058" width="19.28515625" customWidth="1"/>
    <col min="13059" max="13059" width="6.7109375" customWidth="1"/>
    <col min="13060" max="13060" width="12.42578125" customWidth="1"/>
    <col min="13061" max="13061" width="43.85546875" customWidth="1"/>
    <col min="13313" max="13313" width="57.140625" customWidth="1"/>
    <col min="13314" max="13314" width="19.28515625" customWidth="1"/>
    <col min="13315" max="13315" width="6.7109375" customWidth="1"/>
    <col min="13316" max="13316" width="12.42578125" customWidth="1"/>
    <col min="13317" max="13317" width="43.85546875" customWidth="1"/>
    <col min="13569" max="13569" width="57.140625" customWidth="1"/>
    <col min="13570" max="13570" width="19.28515625" customWidth="1"/>
    <col min="13571" max="13571" width="6.7109375" customWidth="1"/>
    <col min="13572" max="13572" width="12.42578125" customWidth="1"/>
    <col min="13573" max="13573" width="43.85546875" customWidth="1"/>
    <col min="13825" max="13825" width="57.140625" customWidth="1"/>
    <col min="13826" max="13826" width="19.28515625" customWidth="1"/>
    <col min="13827" max="13827" width="6.7109375" customWidth="1"/>
    <col min="13828" max="13828" width="12.42578125" customWidth="1"/>
    <col min="13829" max="13829" width="43.85546875" customWidth="1"/>
    <col min="14081" max="14081" width="57.140625" customWidth="1"/>
    <col min="14082" max="14082" width="19.28515625" customWidth="1"/>
    <col min="14083" max="14083" width="6.7109375" customWidth="1"/>
    <col min="14084" max="14084" width="12.42578125" customWidth="1"/>
    <col min="14085" max="14085" width="43.85546875" customWidth="1"/>
    <col min="14337" max="14337" width="57.140625" customWidth="1"/>
    <col min="14338" max="14338" width="19.28515625" customWidth="1"/>
    <col min="14339" max="14339" width="6.7109375" customWidth="1"/>
    <col min="14340" max="14340" width="12.42578125" customWidth="1"/>
    <col min="14341" max="14341" width="43.85546875" customWidth="1"/>
    <col min="14593" max="14593" width="57.140625" customWidth="1"/>
    <col min="14594" max="14594" width="19.28515625" customWidth="1"/>
    <col min="14595" max="14595" width="6.7109375" customWidth="1"/>
    <col min="14596" max="14596" width="12.42578125" customWidth="1"/>
    <col min="14597" max="14597" width="43.85546875" customWidth="1"/>
    <col min="14849" max="14849" width="57.140625" customWidth="1"/>
    <col min="14850" max="14850" width="19.28515625" customWidth="1"/>
    <col min="14851" max="14851" width="6.7109375" customWidth="1"/>
    <col min="14852" max="14852" width="12.42578125" customWidth="1"/>
    <col min="14853" max="14853" width="43.85546875" customWidth="1"/>
    <col min="15105" max="15105" width="57.140625" customWidth="1"/>
    <col min="15106" max="15106" width="19.28515625" customWidth="1"/>
    <col min="15107" max="15107" width="6.7109375" customWidth="1"/>
    <col min="15108" max="15108" width="12.42578125" customWidth="1"/>
    <col min="15109" max="15109" width="43.85546875" customWidth="1"/>
    <col min="15361" max="15361" width="57.140625" customWidth="1"/>
    <col min="15362" max="15362" width="19.28515625" customWidth="1"/>
    <col min="15363" max="15363" width="6.7109375" customWidth="1"/>
    <col min="15364" max="15364" width="12.42578125" customWidth="1"/>
    <col min="15365" max="15365" width="43.85546875" customWidth="1"/>
    <col min="15617" max="15617" width="57.140625" customWidth="1"/>
    <col min="15618" max="15618" width="19.28515625" customWidth="1"/>
    <col min="15619" max="15619" width="6.7109375" customWidth="1"/>
    <col min="15620" max="15620" width="12.42578125" customWidth="1"/>
    <col min="15621" max="15621" width="43.85546875" customWidth="1"/>
    <col min="15873" max="15873" width="57.140625" customWidth="1"/>
    <col min="15874" max="15874" width="19.28515625" customWidth="1"/>
    <col min="15875" max="15875" width="6.7109375" customWidth="1"/>
    <col min="15876" max="15876" width="12.42578125" customWidth="1"/>
    <col min="15877" max="15877" width="43.85546875" customWidth="1"/>
    <col min="16129" max="16129" width="57.140625" customWidth="1"/>
    <col min="16130" max="16130" width="19.28515625" customWidth="1"/>
    <col min="16131" max="16131" width="6.7109375" customWidth="1"/>
    <col min="16132" max="16132" width="12.42578125" customWidth="1"/>
    <col min="16133" max="16133" width="43.85546875" customWidth="1"/>
  </cols>
  <sheetData>
    <row r="1" spans="1:5" ht="18" x14ac:dyDescent="0.25">
      <c r="A1" s="65"/>
      <c r="B1" s="66" t="s">
        <v>38</v>
      </c>
      <c r="C1" s="67"/>
      <c r="D1" s="68"/>
    </row>
    <row r="2" spans="1:5" ht="16.5" thickBot="1" x14ac:dyDescent="0.3">
      <c r="A2" s="69" t="s">
        <v>39</v>
      </c>
      <c r="B2" s="25"/>
      <c r="C2" s="70"/>
      <c r="D2" s="25"/>
    </row>
    <row r="3" spans="1:5" ht="15.75" thickBot="1" x14ac:dyDescent="0.3">
      <c r="A3" s="71" t="s">
        <v>40</v>
      </c>
      <c r="B3" s="72">
        <v>2764.2</v>
      </c>
      <c r="C3" s="73"/>
      <c r="D3" s="74"/>
    </row>
    <row r="4" spans="1:5" ht="15.75" thickBot="1" x14ac:dyDescent="0.3">
      <c r="A4" s="24"/>
      <c r="B4" s="75"/>
      <c r="C4" s="73"/>
      <c r="D4" s="74"/>
    </row>
    <row r="5" spans="1:5" ht="51.75" thickBot="1" x14ac:dyDescent="0.3">
      <c r="A5" s="76" t="s">
        <v>41</v>
      </c>
      <c r="B5" s="77" t="s">
        <v>42</v>
      </c>
      <c r="C5" s="78" t="s">
        <v>43</v>
      </c>
      <c r="D5" s="79" t="s">
        <v>8</v>
      </c>
    </row>
    <row r="6" spans="1:5" ht="24" x14ac:dyDescent="0.25">
      <c r="A6" s="80" t="s">
        <v>44</v>
      </c>
      <c r="B6" s="81">
        <v>1342</v>
      </c>
      <c r="C6" s="224"/>
      <c r="D6" s="82">
        <f>(B6*C6)</f>
        <v>0</v>
      </c>
      <c r="E6" s="83" t="s">
        <v>45</v>
      </c>
    </row>
    <row r="7" spans="1:5" ht="36" x14ac:dyDescent="0.25">
      <c r="A7" s="84" t="s">
        <v>46</v>
      </c>
      <c r="B7" s="85">
        <v>902</v>
      </c>
      <c r="C7" s="225"/>
      <c r="D7" s="86">
        <f>(B7*C7)</f>
        <v>0</v>
      </c>
      <c r="E7" s="87" t="s">
        <v>47</v>
      </c>
    </row>
    <row r="8" spans="1:5" ht="67.5" x14ac:dyDescent="0.25">
      <c r="A8" s="88" t="s">
        <v>48</v>
      </c>
      <c r="B8" s="85">
        <v>825</v>
      </c>
      <c r="C8" s="225">
        <v>1</v>
      </c>
      <c r="D8" s="86">
        <f>(B8*C8)</f>
        <v>825</v>
      </c>
      <c r="E8" s="87" t="s">
        <v>49</v>
      </c>
    </row>
    <row r="9" spans="1:5" ht="25.5" x14ac:dyDescent="0.25">
      <c r="A9" s="89" t="s">
        <v>50</v>
      </c>
      <c r="B9" s="85">
        <v>715</v>
      </c>
      <c r="C9" s="226"/>
      <c r="D9" s="86">
        <f>(B9*C9)</f>
        <v>0</v>
      </c>
      <c r="E9" s="90"/>
    </row>
    <row r="10" spans="1:5" ht="24.75" thickBot="1" x14ac:dyDescent="0.3">
      <c r="A10" s="91" t="s">
        <v>51</v>
      </c>
      <c r="B10" s="92">
        <v>34.5</v>
      </c>
      <c r="C10" s="227">
        <v>172</v>
      </c>
      <c r="D10" s="93">
        <f>(B10*C10)</f>
        <v>5934</v>
      </c>
      <c r="E10" s="94" t="s">
        <v>52</v>
      </c>
    </row>
    <row r="11" spans="1:5" ht="16.5" thickBot="1" x14ac:dyDescent="0.3">
      <c r="A11" s="95" t="s">
        <v>53</v>
      </c>
      <c r="B11" s="96"/>
      <c r="C11" s="97" t="s">
        <v>8</v>
      </c>
      <c r="D11" s="98">
        <f>SUM(D6:D10)</f>
        <v>6759</v>
      </c>
      <c r="E11" s="99" t="s">
        <v>54</v>
      </c>
    </row>
    <row r="12" spans="1:5" ht="15.75" thickBot="1" x14ac:dyDescent="0.3"/>
    <row r="13" spans="1:5" ht="18" x14ac:dyDescent="0.25">
      <c r="A13" s="100" t="s">
        <v>55</v>
      </c>
      <c r="B13" s="101"/>
      <c r="C13" s="101"/>
      <c r="D13" s="102"/>
    </row>
    <row r="14" spans="1:5" ht="15.75" thickBot="1" x14ac:dyDescent="0.3">
      <c r="A14" s="24"/>
      <c r="B14" s="25"/>
      <c r="C14" s="25"/>
      <c r="D14" s="26"/>
    </row>
    <row r="15" spans="1:5" x14ac:dyDescent="0.25">
      <c r="A15" s="65"/>
      <c r="B15" s="103" t="s">
        <v>56</v>
      </c>
      <c r="C15" s="103" t="s">
        <v>57</v>
      </c>
      <c r="D15" s="104" t="s">
        <v>58</v>
      </c>
    </row>
    <row r="16" spans="1:5" ht="16.5" thickBot="1" x14ac:dyDescent="0.3">
      <c r="A16" s="105" t="s">
        <v>59</v>
      </c>
      <c r="B16" s="106">
        <v>87.5</v>
      </c>
      <c r="C16" s="107">
        <v>12</v>
      </c>
      <c r="D16" s="108">
        <f>B16*C16</f>
        <v>1050</v>
      </c>
    </row>
    <row r="17" spans="1:4" ht="15.75" thickBot="1" x14ac:dyDescent="0.3">
      <c r="A17" s="24"/>
      <c r="B17" s="25"/>
      <c r="C17" s="25"/>
      <c r="D17" s="26"/>
    </row>
    <row r="18" spans="1:4" ht="15.75" x14ac:dyDescent="0.25">
      <c r="A18" s="109" t="s">
        <v>60</v>
      </c>
      <c r="B18" s="101"/>
      <c r="C18" s="102"/>
      <c r="D18" s="26"/>
    </row>
    <row r="19" spans="1:4" x14ac:dyDescent="0.25">
      <c r="A19" s="24"/>
      <c r="B19" s="25"/>
      <c r="C19" s="26"/>
      <c r="D19" s="26"/>
    </row>
    <row r="20" spans="1:4" ht="15.75" x14ac:dyDescent="0.25">
      <c r="A20" s="110" t="s">
        <v>61</v>
      </c>
      <c r="B20" s="111">
        <f>B3</f>
        <v>2764.2</v>
      </c>
      <c r="C20" s="112" t="s">
        <v>62</v>
      </c>
      <c r="D20" s="26"/>
    </row>
    <row r="21" spans="1:4" ht="15.75" x14ac:dyDescent="0.25">
      <c r="A21" s="110" t="s">
        <v>63</v>
      </c>
      <c r="B21" s="113">
        <f>D11</f>
        <v>6759</v>
      </c>
      <c r="C21" s="112" t="s">
        <v>64</v>
      </c>
      <c r="D21" s="26"/>
    </row>
    <row r="22" spans="1:4" ht="15.75" x14ac:dyDescent="0.25">
      <c r="A22" s="110" t="s">
        <v>65</v>
      </c>
      <c r="B22" s="111">
        <f>SUM(B20:B21)</f>
        <v>9523.2000000000007</v>
      </c>
      <c r="C22" s="112" t="s">
        <v>66</v>
      </c>
      <c r="D22" s="26"/>
    </row>
    <row r="23" spans="1:4" ht="15.75" x14ac:dyDescent="0.25">
      <c r="A23" s="110" t="s">
        <v>67</v>
      </c>
      <c r="B23" s="113">
        <f>D16</f>
        <v>1050</v>
      </c>
      <c r="C23" s="112" t="s">
        <v>64</v>
      </c>
      <c r="D23" s="26"/>
    </row>
    <row r="24" spans="1:4" ht="15.75" x14ac:dyDescent="0.25">
      <c r="A24" s="114" t="s">
        <v>68</v>
      </c>
      <c r="B24" s="111">
        <f>B22-B23</f>
        <v>8473.2000000000007</v>
      </c>
      <c r="C24" s="112" t="s">
        <v>69</v>
      </c>
      <c r="D24" s="26"/>
    </row>
    <row r="25" spans="1:4" ht="15.75" x14ac:dyDescent="0.25">
      <c r="A25" s="114" t="s">
        <v>70</v>
      </c>
      <c r="B25" s="115">
        <v>360</v>
      </c>
      <c r="C25" s="112" t="s">
        <v>64</v>
      </c>
      <c r="D25" s="26"/>
    </row>
    <row r="26" spans="1:4" ht="15.75" x14ac:dyDescent="0.25">
      <c r="A26" s="114" t="s">
        <v>71</v>
      </c>
      <c r="B26" s="111">
        <f>B24/B25</f>
        <v>23.536666666666669</v>
      </c>
      <c r="C26" s="112" t="s">
        <v>72</v>
      </c>
      <c r="D26" s="26"/>
    </row>
    <row r="27" spans="1:4" ht="15.75" x14ac:dyDescent="0.25">
      <c r="A27" s="114" t="s">
        <v>73</v>
      </c>
      <c r="B27" s="116">
        <v>15</v>
      </c>
      <c r="C27" s="112" t="s">
        <v>64</v>
      </c>
      <c r="D27" s="26"/>
    </row>
    <row r="28" spans="1:4" ht="16.5" thickBot="1" x14ac:dyDescent="0.3">
      <c r="A28" s="117" t="s">
        <v>74</v>
      </c>
      <c r="B28" s="118">
        <f>B26*B27</f>
        <v>353.05</v>
      </c>
      <c r="C28" s="119"/>
      <c r="D28" s="30"/>
    </row>
    <row r="31" spans="1:4" ht="21" thickBot="1" x14ac:dyDescent="0.35">
      <c r="A31" s="120" t="s">
        <v>75</v>
      </c>
      <c r="B31" s="121">
        <f>D11+B28</f>
        <v>7112.05</v>
      </c>
    </row>
  </sheetData>
  <protectedRanges>
    <protectedRange sqref="C6:C10" name="Intervallo1"/>
  </protectedRange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workbookViewId="0">
      <selection activeCell="B3" sqref="B3"/>
    </sheetView>
  </sheetViews>
  <sheetFormatPr defaultRowHeight="15" x14ac:dyDescent="0.25"/>
  <cols>
    <col min="1" max="1" width="27.28515625" bestFit="1" customWidth="1"/>
    <col min="2" max="2" width="13.140625" bestFit="1" customWidth="1"/>
    <col min="3" max="3" width="9.5703125" bestFit="1" customWidth="1"/>
    <col min="4" max="4" width="9.42578125" bestFit="1" customWidth="1"/>
    <col min="5" max="5" width="11" bestFit="1" customWidth="1"/>
    <col min="6" max="6" width="11.140625" bestFit="1" customWidth="1"/>
    <col min="7" max="8" width="11" bestFit="1" customWidth="1"/>
    <col min="9" max="10" width="12" bestFit="1" customWidth="1"/>
    <col min="11" max="11" width="11" bestFit="1" customWidth="1"/>
  </cols>
  <sheetData>
    <row r="1" spans="1:11" x14ac:dyDescent="0.25">
      <c r="A1" s="292" t="s">
        <v>137</v>
      </c>
      <c r="B1" s="292"/>
      <c r="C1" s="292"/>
    </row>
    <row r="2" spans="1:11" x14ac:dyDescent="0.25">
      <c r="A2" s="21" t="s">
        <v>11</v>
      </c>
      <c r="B2" s="175">
        <v>9390.58</v>
      </c>
    </row>
    <row r="3" spans="1:11" x14ac:dyDescent="0.25">
      <c r="A3" t="s">
        <v>155</v>
      </c>
      <c r="B3" s="144">
        <f>K7</f>
        <v>2250</v>
      </c>
    </row>
    <row r="4" spans="1:11" x14ac:dyDescent="0.25">
      <c r="A4" s="145" t="s">
        <v>156</v>
      </c>
      <c r="B4" s="153">
        <f>B2-B3</f>
        <v>7140.58</v>
      </c>
      <c r="C4" s="153"/>
      <c r="D4" s="153"/>
      <c r="E4" s="153"/>
      <c r="F4" s="153"/>
      <c r="G4" s="153"/>
      <c r="H4" s="153"/>
      <c r="I4" s="153"/>
      <c r="J4" s="153"/>
    </row>
    <row r="5" spans="1:11" x14ac:dyDescent="0.25">
      <c r="A5" s="192"/>
      <c r="B5" s="153"/>
      <c r="C5" s="153"/>
      <c r="D5" s="153"/>
      <c r="E5" s="153"/>
      <c r="F5" s="153"/>
      <c r="G5" s="153"/>
      <c r="H5" s="153"/>
      <c r="I5" s="153"/>
      <c r="J5" s="153"/>
    </row>
    <row r="6" spans="1:11" x14ac:dyDescent="0.25">
      <c r="A6" s="145" t="s">
        <v>19</v>
      </c>
      <c r="B6" s="260" t="s">
        <v>20</v>
      </c>
      <c r="C6" s="260" t="s">
        <v>22</v>
      </c>
      <c r="D6" s="260" t="s">
        <v>21</v>
      </c>
      <c r="E6" s="260" t="s">
        <v>153</v>
      </c>
      <c r="F6" s="260" t="s">
        <v>23</v>
      </c>
      <c r="G6" s="260" t="s">
        <v>24</v>
      </c>
      <c r="H6" s="260" t="s">
        <v>25</v>
      </c>
      <c r="I6" s="260" t="s">
        <v>27</v>
      </c>
      <c r="J6" s="261" t="s">
        <v>26</v>
      </c>
      <c r="K6" s="262" t="s">
        <v>8</v>
      </c>
    </row>
    <row r="7" spans="1:11" x14ac:dyDescent="0.25">
      <c r="A7" s="192" t="s">
        <v>154</v>
      </c>
      <c r="B7" s="130">
        <v>250</v>
      </c>
      <c r="C7" s="130">
        <v>250</v>
      </c>
      <c r="D7" s="130">
        <v>250</v>
      </c>
      <c r="E7" s="130">
        <v>250</v>
      </c>
      <c r="F7" s="130">
        <v>250</v>
      </c>
      <c r="G7" s="130">
        <v>250</v>
      </c>
      <c r="H7" s="130">
        <v>250</v>
      </c>
      <c r="I7" s="130">
        <v>250</v>
      </c>
      <c r="J7" s="130">
        <v>250</v>
      </c>
      <c r="K7" s="263">
        <f>SUM(B7:J7)</f>
        <v>2250</v>
      </c>
    </row>
    <row r="8" spans="1:11" x14ac:dyDescent="0.25">
      <c r="A8" s="174" t="s">
        <v>123</v>
      </c>
      <c r="B8" s="184">
        <v>2</v>
      </c>
      <c r="C8" s="184">
        <v>3</v>
      </c>
      <c r="D8" s="184">
        <v>2</v>
      </c>
      <c r="E8" s="184">
        <v>8</v>
      </c>
      <c r="F8" s="184">
        <v>8</v>
      </c>
      <c r="G8" s="184">
        <v>5</v>
      </c>
      <c r="H8" s="184">
        <v>5</v>
      </c>
      <c r="I8" s="184">
        <v>8</v>
      </c>
      <c r="J8" s="184">
        <v>19</v>
      </c>
      <c r="K8" s="184">
        <f>SUM(B8:J8)</f>
        <v>60</v>
      </c>
    </row>
    <row r="9" spans="1:11" ht="45" x14ac:dyDescent="0.25">
      <c r="A9" s="168" t="s">
        <v>124</v>
      </c>
      <c r="B9" s="264">
        <f>$B$4*B8/$K$8</f>
        <v>238.01933333333332</v>
      </c>
      <c r="C9" s="264">
        <f t="shared" ref="C9:J9" si="0">$B$4*C8/$K$8</f>
        <v>357.02899999999994</v>
      </c>
      <c r="D9" s="264">
        <f t="shared" si="0"/>
        <v>238.01933333333332</v>
      </c>
      <c r="E9" s="264">
        <f t="shared" si="0"/>
        <v>952.07733333333329</v>
      </c>
      <c r="F9" s="264">
        <f t="shared" si="0"/>
        <v>952.07733333333329</v>
      </c>
      <c r="G9" s="264">
        <f t="shared" si="0"/>
        <v>595.0483333333334</v>
      </c>
      <c r="H9" s="264">
        <f t="shared" si="0"/>
        <v>595.0483333333334</v>
      </c>
      <c r="I9" s="264">
        <f t="shared" si="0"/>
        <v>952.07733333333329</v>
      </c>
      <c r="J9" s="264">
        <f t="shared" si="0"/>
        <v>2261.1836666666663</v>
      </c>
      <c r="K9" s="265">
        <f>SUM(B9:J9)</f>
        <v>7140.58</v>
      </c>
    </row>
    <row r="10" spans="1:11" x14ac:dyDescent="0.25">
      <c r="A10" s="192" t="s">
        <v>157</v>
      </c>
      <c r="B10" s="266">
        <f>B7+B9</f>
        <v>488.01933333333329</v>
      </c>
      <c r="C10" s="266">
        <f t="shared" ref="C10:J10" si="1">C7+C9</f>
        <v>607.029</v>
      </c>
      <c r="D10" s="266">
        <f t="shared" si="1"/>
        <v>488.01933333333329</v>
      </c>
      <c r="E10" s="266">
        <f t="shared" si="1"/>
        <v>1202.0773333333332</v>
      </c>
      <c r="F10" s="266">
        <f t="shared" si="1"/>
        <v>1202.0773333333332</v>
      </c>
      <c r="G10" s="266">
        <f t="shared" si="1"/>
        <v>845.0483333333334</v>
      </c>
      <c r="H10" s="266">
        <f t="shared" si="1"/>
        <v>845.0483333333334</v>
      </c>
      <c r="I10" s="266">
        <f t="shared" si="1"/>
        <v>1202.0773333333332</v>
      </c>
      <c r="J10" s="266">
        <f t="shared" si="1"/>
        <v>2511.1836666666663</v>
      </c>
      <c r="K10" s="266">
        <f>K7+K9</f>
        <v>9390.58</v>
      </c>
    </row>
  </sheetData>
  <mergeCells count="1">
    <mergeCell ref="A1:C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"/>
  <sheetViews>
    <sheetView workbookViewId="0">
      <selection activeCell="Q21" sqref="Q21"/>
    </sheetView>
  </sheetViews>
  <sheetFormatPr defaultRowHeight="15" x14ac:dyDescent="0.25"/>
  <cols>
    <col min="1" max="1" width="24.42578125" bestFit="1" customWidth="1"/>
    <col min="2" max="2" width="9.42578125" bestFit="1" customWidth="1"/>
  </cols>
  <sheetData>
    <row r="1" spans="1:11" x14ac:dyDescent="0.25">
      <c r="A1" s="292" t="s">
        <v>136</v>
      </c>
      <c r="B1" s="292"/>
      <c r="C1" s="292"/>
    </row>
    <row r="2" spans="1:11" x14ac:dyDescent="0.25">
      <c r="A2" s="21" t="s">
        <v>11</v>
      </c>
      <c r="B2" s="175">
        <v>900</v>
      </c>
    </row>
    <row r="4" spans="1:11" x14ac:dyDescent="0.25">
      <c r="A4" s="169"/>
      <c r="B4" s="153"/>
      <c r="C4" s="153"/>
      <c r="D4" s="153"/>
      <c r="E4" s="153"/>
      <c r="F4" s="153"/>
      <c r="G4" s="153"/>
      <c r="H4" s="153"/>
      <c r="I4" s="153"/>
      <c r="J4" s="153"/>
    </row>
    <row r="5" spans="1:11" x14ac:dyDescent="0.25">
      <c r="A5" s="169" t="s">
        <v>19</v>
      </c>
      <c r="B5" s="152" t="s">
        <v>20</v>
      </c>
      <c r="C5" s="152" t="s">
        <v>22</v>
      </c>
      <c r="D5" s="152" t="s">
        <v>21</v>
      </c>
      <c r="E5" s="152" t="s">
        <v>153</v>
      </c>
      <c r="F5" s="152" t="s">
        <v>23</v>
      </c>
      <c r="G5" s="152" t="s">
        <v>24</v>
      </c>
      <c r="H5" s="152" t="s">
        <v>25</v>
      </c>
      <c r="I5" s="152" t="s">
        <v>27</v>
      </c>
      <c r="J5" s="244" t="s">
        <v>26</v>
      </c>
      <c r="K5" s="194" t="s">
        <v>8</v>
      </c>
    </row>
    <row r="6" spans="1:11" x14ac:dyDescent="0.25">
      <c r="A6" s="174" t="s">
        <v>123</v>
      </c>
      <c r="B6" s="184">
        <v>2</v>
      </c>
      <c r="C6" s="184">
        <v>3</v>
      </c>
      <c r="D6" s="184">
        <v>2</v>
      </c>
      <c r="E6" s="184">
        <v>8</v>
      </c>
      <c r="F6" s="184">
        <v>8</v>
      </c>
      <c r="G6" s="184">
        <v>5</v>
      </c>
      <c r="H6" s="184">
        <v>5</v>
      </c>
      <c r="I6" s="184">
        <v>8</v>
      </c>
      <c r="J6" s="184">
        <v>19</v>
      </c>
      <c r="K6" s="169">
        <f>SUM(B6:J6)</f>
        <v>60</v>
      </c>
    </row>
    <row r="7" spans="1:11" ht="45" x14ac:dyDescent="0.25">
      <c r="A7" s="168" t="s">
        <v>124</v>
      </c>
      <c r="B7" s="153">
        <f>$B$2*B6/$K$6</f>
        <v>30</v>
      </c>
      <c r="C7" s="153">
        <f t="shared" ref="C7:J7" si="0">$B$2*C6/$K$6</f>
        <v>45</v>
      </c>
      <c r="D7" s="153">
        <f t="shared" si="0"/>
        <v>30</v>
      </c>
      <c r="E7" s="153">
        <f t="shared" si="0"/>
        <v>120</v>
      </c>
      <c r="F7" s="153">
        <f t="shared" si="0"/>
        <v>120</v>
      </c>
      <c r="G7" s="153">
        <f t="shared" si="0"/>
        <v>75</v>
      </c>
      <c r="H7" s="153">
        <f t="shared" si="0"/>
        <v>75</v>
      </c>
      <c r="I7" s="153">
        <f t="shared" si="0"/>
        <v>120</v>
      </c>
      <c r="J7" s="153">
        <f t="shared" si="0"/>
        <v>285</v>
      </c>
      <c r="K7" s="251">
        <f>SUM(B7:J7)</f>
        <v>900</v>
      </c>
    </row>
  </sheetData>
  <mergeCells count="1">
    <mergeCell ref="A1:C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"/>
  <sheetViews>
    <sheetView workbookViewId="0">
      <selection activeCell="G27" sqref="G27"/>
    </sheetView>
  </sheetViews>
  <sheetFormatPr defaultRowHeight="15" x14ac:dyDescent="0.25"/>
  <cols>
    <col min="1" max="1" width="9.140625" customWidth="1"/>
    <col min="2" max="2" width="15.7109375" customWidth="1"/>
    <col min="3" max="3" width="11.5703125" bestFit="1" customWidth="1"/>
    <col min="4" max="4" width="11" bestFit="1" customWidth="1"/>
    <col min="5" max="11" width="11.5703125" bestFit="1" customWidth="1"/>
    <col min="14" max="14" width="11" bestFit="1" customWidth="1"/>
  </cols>
  <sheetData>
    <row r="1" spans="1:14" ht="15" customHeight="1" x14ac:dyDescent="0.25">
      <c r="A1" s="292" t="s">
        <v>119</v>
      </c>
      <c r="B1" s="292"/>
      <c r="C1" s="292"/>
    </row>
    <row r="2" spans="1:14" x14ac:dyDescent="0.25">
      <c r="A2" s="294" t="s">
        <v>214</v>
      </c>
      <c r="B2" s="295"/>
      <c r="C2" s="48">
        <f>'DISTRIBUZIONE DOC'!B45</f>
        <v>8085</v>
      </c>
    </row>
    <row r="4" spans="1:14" x14ac:dyDescent="0.25">
      <c r="A4" s="291" t="s">
        <v>120</v>
      </c>
      <c r="B4" s="291"/>
      <c r="C4" s="49">
        <v>38.5</v>
      </c>
    </row>
    <row r="5" spans="1:14" x14ac:dyDescent="0.25">
      <c r="A5" s="291"/>
      <c r="B5" s="291"/>
      <c r="C5" s="49"/>
    </row>
    <row r="6" spans="1:14" x14ac:dyDescent="0.25">
      <c r="A6" s="291"/>
      <c r="B6" s="291"/>
      <c r="C6" s="49"/>
    </row>
    <row r="9" spans="1:14" x14ac:dyDescent="0.25">
      <c r="A9" s="291" t="s">
        <v>19</v>
      </c>
      <c r="B9" s="291"/>
      <c r="C9" s="242" t="s">
        <v>20</v>
      </c>
      <c r="D9" s="242" t="s">
        <v>22</v>
      </c>
      <c r="E9" s="242" t="s">
        <v>21</v>
      </c>
      <c r="F9" s="242" t="s">
        <v>153</v>
      </c>
      <c r="G9" s="242" t="s">
        <v>23</v>
      </c>
      <c r="H9" s="242" t="s">
        <v>24</v>
      </c>
      <c r="I9" s="242" t="s">
        <v>25</v>
      </c>
      <c r="J9" s="242" t="s">
        <v>27</v>
      </c>
      <c r="K9" s="242" t="s">
        <v>26</v>
      </c>
    </row>
    <row r="10" spans="1:14" x14ac:dyDescent="0.25">
      <c r="A10" s="291" t="s">
        <v>28</v>
      </c>
      <c r="B10" s="291"/>
      <c r="C10" s="198">
        <v>41</v>
      </c>
      <c r="D10" s="198">
        <v>62</v>
      </c>
      <c r="E10" s="198">
        <v>31</v>
      </c>
      <c r="F10" s="198">
        <v>114</v>
      </c>
      <c r="G10" s="198">
        <v>136</v>
      </c>
      <c r="H10" s="198">
        <v>91</v>
      </c>
      <c r="I10" s="198">
        <v>98</v>
      </c>
      <c r="J10" s="198">
        <v>148</v>
      </c>
      <c r="K10" s="198">
        <v>378</v>
      </c>
      <c r="M10" t="s">
        <v>13</v>
      </c>
      <c r="N10">
        <f>SUM(C10:K10)</f>
        <v>1099</v>
      </c>
    </row>
    <row r="12" spans="1:14" ht="36" customHeight="1" x14ac:dyDescent="0.25">
      <c r="A12" s="299" t="s">
        <v>29</v>
      </c>
      <c r="B12" s="299"/>
      <c r="C12" s="50">
        <f>$C2*C10/$N10</f>
        <v>301.62420382165607</v>
      </c>
      <c r="D12" s="50">
        <f t="shared" ref="D12:K12" si="0">$C2*D10/$N10</f>
        <v>456.11464968152865</v>
      </c>
      <c r="E12" s="50">
        <f t="shared" si="0"/>
        <v>228.05732484076432</v>
      </c>
      <c r="F12" s="50">
        <f t="shared" si="0"/>
        <v>838.66242038216558</v>
      </c>
      <c r="G12" s="50">
        <f t="shared" si="0"/>
        <v>1000.5095541401274</v>
      </c>
      <c r="H12" s="50">
        <f t="shared" si="0"/>
        <v>669.4585987261147</v>
      </c>
      <c r="I12" s="50">
        <f>$C2*I10/$N10</f>
        <v>720.95541401273886</v>
      </c>
      <c r="J12" s="50">
        <f t="shared" si="0"/>
        <v>1088.7898089171974</v>
      </c>
      <c r="K12" s="50">
        <f t="shared" si="0"/>
        <v>2780.8280254777069</v>
      </c>
      <c r="M12" t="s">
        <v>30</v>
      </c>
      <c r="N12" s="50">
        <f>SUM(C12:K12)</f>
        <v>8085</v>
      </c>
    </row>
    <row r="13" spans="1:14" x14ac:dyDescent="0.25">
      <c r="C13" s="300" t="s">
        <v>31</v>
      </c>
      <c r="D13" s="301"/>
      <c r="E13" s="302"/>
      <c r="F13" s="300" t="s">
        <v>32</v>
      </c>
      <c r="G13" s="301"/>
      <c r="H13" s="301"/>
      <c r="I13" s="302"/>
      <c r="J13" s="300" t="s">
        <v>33</v>
      </c>
      <c r="K13" s="302"/>
    </row>
    <row r="14" spans="1:14" ht="33" customHeight="1" x14ac:dyDescent="0.25">
      <c r="A14" s="303" t="s">
        <v>34</v>
      </c>
      <c r="B14" s="303"/>
      <c r="C14" s="51">
        <f>C12/$C4</f>
        <v>7.8343949044585992</v>
      </c>
      <c r="D14" s="51">
        <f t="shared" ref="D14" si="1">D12/$C4</f>
        <v>11.847133757961783</v>
      </c>
      <c r="E14" s="51">
        <f>E12/$C4</f>
        <v>5.9235668789808917</v>
      </c>
      <c r="F14" s="51">
        <f>F12/$C4</f>
        <v>21.783439490445858</v>
      </c>
      <c r="G14" s="51">
        <f t="shared" ref="G14:I14" si="2">G12/$C4</f>
        <v>25.987261146496817</v>
      </c>
      <c r="H14" s="51">
        <f t="shared" si="2"/>
        <v>17.388535031847134</v>
      </c>
      <c r="I14" s="51">
        <f t="shared" si="2"/>
        <v>18.726114649681527</v>
      </c>
      <c r="J14" s="51">
        <f>J12/$C4</f>
        <v>28.280254777070063</v>
      </c>
      <c r="K14" s="51">
        <f>K12/$C4</f>
        <v>72.229299363057322</v>
      </c>
      <c r="M14" s="21" t="s">
        <v>121</v>
      </c>
      <c r="N14" s="52">
        <f>SUM(C14:K14)</f>
        <v>210</v>
      </c>
    </row>
    <row r="15" spans="1:14" x14ac:dyDescent="0.25">
      <c r="C15" s="53"/>
      <c r="D15" s="54"/>
      <c r="E15" s="55"/>
      <c r="F15" s="53"/>
      <c r="G15" s="54"/>
      <c r="H15" s="54"/>
      <c r="I15" s="55"/>
      <c r="J15" s="53"/>
      <c r="K15" s="55"/>
    </row>
    <row r="16" spans="1:14" x14ac:dyDescent="0.25">
      <c r="C16" s="56"/>
      <c r="D16" s="25"/>
      <c r="E16" s="57"/>
      <c r="F16" s="56"/>
      <c r="G16" s="25"/>
      <c r="H16" s="25"/>
      <c r="I16" s="57"/>
      <c r="J16" s="56"/>
      <c r="K16" s="57"/>
    </row>
    <row r="17" spans="2:14" x14ac:dyDescent="0.25">
      <c r="B17" s="303" t="s">
        <v>35</v>
      </c>
      <c r="C17" s="56"/>
      <c r="D17" s="304">
        <f>(C14+D14+E14)*C4</f>
        <v>985.79617834394912</v>
      </c>
      <c r="E17" s="57"/>
      <c r="F17" s="56"/>
      <c r="G17" s="304">
        <f>(F14+G14+H14+I14)*C4</f>
        <v>3229.5859872611472</v>
      </c>
      <c r="H17" s="25"/>
      <c r="I17" s="57"/>
      <c r="J17" s="306">
        <f>(J14+K14)*C4</f>
        <v>3869.6178343949045</v>
      </c>
      <c r="K17" s="57"/>
      <c r="M17" s="296" t="s">
        <v>8</v>
      </c>
      <c r="N17" s="308">
        <f>D17+G17+J17</f>
        <v>8085.0000000000018</v>
      </c>
    </row>
    <row r="18" spans="2:14" x14ac:dyDescent="0.25">
      <c r="B18" s="303"/>
      <c r="C18" s="58"/>
      <c r="D18" s="305"/>
      <c r="E18" s="59"/>
      <c r="F18" s="58"/>
      <c r="G18" s="305"/>
      <c r="H18" s="60"/>
      <c r="I18" s="59"/>
      <c r="J18" s="307"/>
      <c r="K18" s="59"/>
      <c r="M18" s="296"/>
      <c r="N18" s="296"/>
    </row>
  </sheetData>
  <mergeCells count="18">
    <mergeCell ref="N17:N18"/>
    <mergeCell ref="A12:B12"/>
    <mergeCell ref="C13:E13"/>
    <mergeCell ref="F13:I13"/>
    <mergeCell ref="J13:K13"/>
    <mergeCell ref="A14:B14"/>
    <mergeCell ref="B17:B18"/>
    <mergeCell ref="D17:D18"/>
    <mergeCell ref="G17:G18"/>
    <mergeCell ref="J17:J18"/>
    <mergeCell ref="A6:B6"/>
    <mergeCell ref="A9:B9"/>
    <mergeCell ref="A1:C1"/>
    <mergeCell ref="A10:B10"/>
    <mergeCell ref="M17:M18"/>
    <mergeCell ref="A2:B2"/>
    <mergeCell ref="A4:B4"/>
    <mergeCell ref="A5:B5"/>
  </mergeCell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"/>
  <sheetViews>
    <sheetView workbookViewId="0">
      <selection activeCell="B3" sqref="B3"/>
    </sheetView>
  </sheetViews>
  <sheetFormatPr defaultRowHeight="15" x14ac:dyDescent="0.25"/>
  <cols>
    <col min="2" max="2" width="11" bestFit="1" customWidth="1"/>
    <col min="5" max="6" width="11" bestFit="1" customWidth="1"/>
    <col min="9" max="11" width="11" bestFit="1" customWidth="1"/>
  </cols>
  <sheetData>
    <row r="1" spans="1:11" x14ac:dyDescent="0.25">
      <c r="A1" s="309" t="s">
        <v>141</v>
      </c>
      <c r="B1" s="309"/>
      <c r="C1" s="309"/>
      <c r="D1" s="309"/>
      <c r="E1" s="309"/>
      <c r="F1" s="309"/>
      <c r="G1" s="309"/>
      <c r="H1" s="309"/>
      <c r="I1" s="309"/>
      <c r="J1" s="309"/>
      <c r="K1" s="309"/>
    </row>
    <row r="2" spans="1:11" x14ac:dyDescent="0.25">
      <c r="A2" s="21" t="s">
        <v>11</v>
      </c>
      <c r="B2" s="175">
        <v>8364.02</v>
      </c>
    </row>
    <row r="4" spans="1:11" x14ac:dyDescent="0.25">
      <c r="A4" s="169"/>
      <c r="B4" s="153"/>
      <c r="C4" s="153"/>
      <c r="D4" s="153"/>
      <c r="E4" s="153"/>
      <c r="F4" s="153"/>
      <c r="G4" s="153"/>
      <c r="H4" s="153"/>
      <c r="I4" s="153"/>
      <c r="J4" s="153"/>
    </row>
    <row r="5" spans="1:11" x14ac:dyDescent="0.25">
      <c r="A5" s="184" t="s">
        <v>19</v>
      </c>
      <c r="B5" s="187" t="s">
        <v>20</v>
      </c>
      <c r="C5" s="183" t="s">
        <v>22</v>
      </c>
      <c r="D5" s="183" t="s">
        <v>21</v>
      </c>
      <c r="E5" s="183" t="s">
        <v>215</v>
      </c>
      <c r="F5" s="183" t="s">
        <v>23</v>
      </c>
      <c r="G5" s="183" t="s">
        <v>24</v>
      </c>
      <c r="H5" s="183" t="s">
        <v>25</v>
      </c>
      <c r="I5" s="183" t="s">
        <v>27</v>
      </c>
      <c r="J5" s="183" t="s">
        <v>26</v>
      </c>
      <c r="K5" s="182" t="s">
        <v>8</v>
      </c>
    </row>
    <row r="6" spans="1:11" ht="30" x14ac:dyDescent="0.25">
      <c r="A6" s="189" t="s">
        <v>123</v>
      </c>
      <c r="B6" s="184">
        <v>2</v>
      </c>
      <c r="C6" s="184">
        <v>3</v>
      </c>
      <c r="D6" s="184">
        <v>2</v>
      </c>
      <c r="E6" s="184">
        <v>8</v>
      </c>
      <c r="F6" s="184">
        <v>8</v>
      </c>
      <c r="G6" s="184">
        <v>5</v>
      </c>
      <c r="H6" s="184">
        <v>5</v>
      </c>
      <c r="I6" s="184">
        <v>8</v>
      </c>
      <c r="J6" s="184">
        <v>19</v>
      </c>
      <c r="K6" s="184">
        <f>SUM(B6:J6)</f>
        <v>60</v>
      </c>
    </row>
    <row r="7" spans="1:11" ht="57" x14ac:dyDescent="0.25">
      <c r="A7" s="190" t="s">
        <v>124</v>
      </c>
      <c r="B7" s="188">
        <f>$B$2*B6/$K$6</f>
        <v>278.8006666666667</v>
      </c>
      <c r="C7" s="185">
        <f t="shared" ref="C7:J7" si="0">$B$2*C6/$K$6</f>
        <v>418.20100000000002</v>
      </c>
      <c r="D7" s="185">
        <f t="shared" si="0"/>
        <v>278.8006666666667</v>
      </c>
      <c r="E7" s="185">
        <f t="shared" si="0"/>
        <v>1115.2026666666668</v>
      </c>
      <c r="F7" s="185">
        <f t="shared" si="0"/>
        <v>1115.2026666666668</v>
      </c>
      <c r="G7" s="185">
        <f t="shared" si="0"/>
        <v>697.00166666666678</v>
      </c>
      <c r="H7" s="185">
        <f t="shared" si="0"/>
        <v>697.00166666666678</v>
      </c>
      <c r="I7" s="185">
        <f t="shared" si="0"/>
        <v>1115.2026666666668</v>
      </c>
      <c r="J7" s="185">
        <f t="shared" si="0"/>
        <v>2648.6063333333336</v>
      </c>
      <c r="K7" s="186">
        <f>SUM(B7:J7)</f>
        <v>8364.0200000000023</v>
      </c>
    </row>
  </sheetData>
  <mergeCells count="1">
    <mergeCell ref="A1:K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16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9</vt:i4>
      </vt:variant>
    </vt:vector>
  </HeadingPairs>
  <TitlesOfParts>
    <vt:vector size="9" baseType="lpstr">
      <vt:lpstr>MOF DISPONIBILE</vt:lpstr>
      <vt:lpstr>DISTRIBUZIONE DOC</vt:lpstr>
      <vt:lpstr>DISTRIBUZIONE OE</vt:lpstr>
      <vt:lpstr>DISTRIBUZIONE ATA</vt:lpstr>
      <vt:lpstr>CALCOLO INDENNITÀ DSGA</vt:lpstr>
      <vt:lpstr>CALCOLO COORD DI PLESSO</vt:lpstr>
      <vt:lpstr>CALCOLO DOCENTI SCUOLA SICURA</vt:lpstr>
      <vt:lpstr>DISTRIBUZIONE PROGETTI PLESSI</vt:lpstr>
      <vt:lpstr>CALCOLO ATA CS COLLABOR CON DOC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segreteria2</dc:creator>
  <dc:description/>
  <cp:lastModifiedBy>DSGA</cp:lastModifiedBy>
  <cp:revision>6</cp:revision>
  <cp:lastPrinted>2025-02-04T09:49:01Z</cp:lastPrinted>
  <dcterms:created xsi:type="dcterms:W3CDTF">2020-11-26T07:13:15Z</dcterms:created>
  <dcterms:modified xsi:type="dcterms:W3CDTF">2025-10-20T11:22:19Z</dcterms:modified>
  <dc:language>it-IT</dc:language>
</cp:coreProperties>
</file>